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425" windowHeight="10425" tabRatio="894" firstSheet="4" activeTab="1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s>
  <externalReferences>
    <externalReference r:id="rId16"/>
    <externalReference r:id="rId17"/>
  </externalReferences>
  <definedNames>
    <definedName name="_xlnm.Print_Area" localSheetId="1">'1.Project Cost and MOF'!$A$1:$G$35</definedName>
    <definedName name="_xlnm.Print_Area" localSheetId="10">'10.Grain Production details'!$A$1:$H$115</definedName>
    <definedName name="_xlnm.Print_Area" localSheetId="11">'11.F&amp;V Crop Production details'!$A$1:$H$127</definedName>
    <definedName name="_xlnm.Print_Area" localSheetId="12">'12.Facility 1 - Trading'!$A$1:$J$308</definedName>
    <definedName name="_xlnm.Print_Area" localSheetId="13">'13.Facility 2 Grain Processing'!$A$3:$J$189</definedName>
    <definedName name="_xlnm.Print_Area" localSheetId="14">'14. Facility 3 Warehouse'!$A$1:$J$51</definedName>
    <definedName name="_xlnm.Print_Area" localSheetId="2">'2.Capex Details'!$A$1:$H$122</definedName>
    <definedName name="_xlnm.Print_Area" localSheetId="3">'3.Other Exp &amp; Taxes'!$A$1:$R$105</definedName>
    <definedName name="_xlnm.Print_Area" localSheetId="4">'4.TL repayment sch'!$A$1:$H$95</definedName>
    <definedName name="_xlnm.Print_Area" localSheetId="5">'5.Closing Stock &amp; W Capital'!$A$1:$L$53</definedName>
    <definedName name="_xlnm.Print_Area" localSheetId="6">'6.Cons Profit &amp; Loss'!$A$1:$I$47</definedName>
    <definedName name="_xlnm.Print_Area" localSheetId="7">'7.Balance Sheet'!$A$1:$I$50</definedName>
    <definedName name="_xlnm.Print_Area" localSheetId="8">'8.Cash Flow '!$A$1:$I$35</definedName>
    <definedName name="_xlnm.Print_Area" localSheetId="9">'9. Financial indiacators'!$B$1:$J$171</definedName>
  </definedNames>
  <calcPr calcId="152511"/>
</workbook>
</file>

<file path=xl/calcChain.xml><?xml version="1.0" encoding="utf-8"?>
<calcChain xmlns="http://schemas.openxmlformats.org/spreadsheetml/2006/main">
  <c r="E115" i="57" l="1"/>
  <c r="E114" i="57"/>
  <c r="G91" i="57"/>
  <c r="G90" i="57"/>
  <c r="C79" i="81"/>
  <c r="C24" i="72" s="1"/>
  <c r="C48" i="72" s="1"/>
  <c r="E172" i="55"/>
  <c r="H47" i="57" l="1"/>
  <c r="B163" i="72" l="1"/>
  <c r="G50" i="57" l="1"/>
  <c r="G37" i="57"/>
  <c r="G36" i="57"/>
  <c r="G35" i="57"/>
  <c r="G34" i="57"/>
  <c r="F76" i="57" l="1"/>
  <c r="G76" i="57" s="1"/>
  <c r="B63" i="55" l="1"/>
  <c r="C63" i="55"/>
  <c r="J178" i="72" l="1"/>
  <c r="I178" i="72"/>
  <c r="H178" i="72"/>
  <c r="G178" i="72"/>
  <c r="F178" i="72"/>
  <c r="E178" i="72"/>
  <c r="D178" i="72"/>
  <c r="D295" i="55" l="1"/>
  <c r="G55" i="57"/>
  <c r="G57" i="57"/>
  <c r="G54" i="57"/>
  <c r="H59" i="57"/>
  <c r="B283" i="55" s="1"/>
  <c r="G58" i="57"/>
  <c r="G7" i="57"/>
  <c r="G6" i="57"/>
  <c r="H63" i="55" l="1"/>
  <c r="G63" i="55"/>
  <c r="C33" i="72"/>
  <c r="D33" i="72" s="1"/>
  <c r="F63" i="55"/>
  <c r="E63" i="55"/>
  <c r="D63" i="55"/>
  <c r="B34" i="72"/>
  <c r="C34" i="72" l="1"/>
  <c r="E33" i="72"/>
  <c r="D34" i="72"/>
  <c r="I4" i="42"/>
  <c r="I5" i="42" s="1"/>
  <c r="F33" i="72" l="1"/>
  <c r="E34" i="72"/>
  <c r="B32" i="55"/>
  <c r="B89" i="55" s="1"/>
  <c r="D27" i="42"/>
  <c r="D28" i="42"/>
  <c r="B93" i="81"/>
  <c r="B100" i="81"/>
  <c r="B114" i="81"/>
  <c r="D37" i="42"/>
  <c r="D43" i="42" s="1"/>
  <c r="B24" i="21" s="1"/>
  <c r="C41" i="81"/>
  <c r="D41" i="81" s="1"/>
  <c r="E41" i="81" s="1"/>
  <c r="F41" i="81" s="1"/>
  <c r="G41" i="81" s="1"/>
  <c r="H41" i="81" s="1"/>
  <c r="G32" i="55"/>
  <c r="G89" i="55" s="1"/>
  <c r="F32" i="55"/>
  <c r="F89" i="55" s="1"/>
  <c r="H32" i="55"/>
  <c r="H89" i="55" s="1"/>
  <c r="E32" i="55"/>
  <c r="E89" i="55" s="1"/>
  <c r="D32" i="55"/>
  <c r="D89" i="55" s="1"/>
  <c r="C32" i="55"/>
  <c r="C89" i="55" s="1"/>
  <c r="E141" i="55" l="1"/>
  <c r="H141" i="55"/>
  <c r="F141" i="55"/>
  <c r="G141" i="55"/>
  <c r="C141" i="55"/>
  <c r="D141" i="55"/>
  <c r="D254" i="55"/>
  <c r="B141" i="55"/>
  <c r="D199" i="55" s="1"/>
  <c r="G33" i="72"/>
  <c r="F34" i="72"/>
  <c r="B7" i="81"/>
  <c r="B9" i="81" s="1"/>
  <c r="C100" i="83"/>
  <c r="D100" i="83"/>
  <c r="E100" i="83"/>
  <c r="F100" i="83" s="1"/>
  <c r="G100" i="83" s="1"/>
  <c r="H100" i="83" s="1"/>
  <c r="F14" i="81"/>
  <c r="H14" i="81"/>
  <c r="F21" i="81"/>
  <c r="H21" i="81"/>
  <c r="F22" i="81"/>
  <c r="H22" i="81" s="1"/>
  <c r="D177" i="72"/>
  <c r="D182" i="72" s="1"/>
  <c r="B23" i="21" s="1"/>
  <c r="G21" i="57"/>
  <c r="G22" i="57"/>
  <c r="D40" i="83"/>
  <c r="D15" i="83"/>
  <c r="D19" i="83"/>
  <c r="B10" i="42"/>
  <c r="D21" i="42" s="1"/>
  <c r="D23" i="42" s="1"/>
  <c r="E32" i="61"/>
  <c r="D29" i="42"/>
  <c r="D34" i="42" s="1"/>
  <c r="G49" i="57"/>
  <c r="G51" i="57"/>
  <c r="E22" i="22"/>
  <c r="E21" i="22"/>
  <c r="F20" i="22"/>
  <c r="E20" i="22"/>
  <c r="E19" i="22"/>
  <c r="E18" i="22"/>
  <c r="H17" i="22"/>
  <c r="E17" i="22"/>
  <c r="E16" i="22"/>
  <c r="B9" i="68"/>
  <c r="G9" i="57"/>
  <c r="G10" i="57"/>
  <c r="G11" i="57"/>
  <c r="G23" i="57"/>
  <c r="G24" i="57"/>
  <c r="G25" i="57"/>
  <c r="G26" i="57"/>
  <c r="G27" i="57"/>
  <c r="G28" i="57"/>
  <c r="G29" i="57"/>
  <c r="G30" i="57"/>
  <c r="G31" i="57"/>
  <c r="G38" i="57"/>
  <c r="G39" i="57"/>
  <c r="G40" i="57"/>
  <c r="G41" i="57"/>
  <c r="G42" i="57"/>
  <c r="G43" i="57"/>
  <c r="G44" i="57"/>
  <c r="G45" i="57"/>
  <c r="G46" i="57"/>
  <c r="G52" i="57"/>
  <c r="G53" i="57"/>
  <c r="G61" i="57"/>
  <c r="G62" i="57"/>
  <c r="G63" i="57"/>
  <c r="G64" i="57"/>
  <c r="F80" i="57"/>
  <c r="F81" i="57"/>
  <c r="F94" i="57"/>
  <c r="F95" i="57"/>
  <c r="F105" i="57"/>
  <c r="F106" i="57"/>
  <c r="D119" i="57"/>
  <c r="D10" i="62" s="1"/>
  <c r="D86" i="22" s="1"/>
  <c r="C34" i="21" s="1"/>
  <c r="E94" i="29" s="1"/>
  <c r="B7" i="83"/>
  <c r="B9" i="83" s="1"/>
  <c r="D37" i="83" s="1"/>
  <c r="D255" i="55"/>
  <c r="D279" i="55"/>
  <c r="D280" i="55"/>
  <c r="H65" i="57"/>
  <c r="B162" i="55"/>
  <c r="D221" i="55" s="1"/>
  <c r="B163" i="55"/>
  <c r="D222" i="55" s="1"/>
  <c r="B164" i="55"/>
  <c r="D223" i="55" s="1"/>
  <c r="E8" i="22"/>
  <c r="E9" i="22"/>
  <c r="E10" i="22"/>
  <c r="E11" i="22"/>
  <c r="E12" i="22"/>
  <c r="E13" i="22"/>
  <c r="E14" i="22"/>
  <c r="E15" i="22"/>
  <c r="C10" i="62"/>
  <c r="C9" i="62"/>
  <c r="C8" i="62"/>
  <c r="C7" i="62"/>
  <c r="C6" i="62"/>
  <c r="C5" i="62"/>
  <c r="F172" i="55"/>
  <c r="G172" i="55"/>
  <c r="C44" i="83"/>
  <c r="D44" i="83" s="1"/>
  <c r="E44" i="83" s="1"/>
  <c r="F44" i="83" s="1"/>
  <c r="G44" i="83" s="1"/>
  <c r="H44" i="83" s="1"/>
  <c r="F255" i="55"/>
  <c r="F279" i="55"/>
  <c r="F280" i="55"/>
  <c r="E255" i="55"/>
  <c r="E279" i="55"/>
  <c r="E280" i="55"/>
  <c r="C72" i="83"/>
  <c r="D72" i="83" s="1"/>
  <c r="E72" i="83" s="1"/>
  <c r="F72" i="83" s="1"/>
  <c r="G72" i="83" s="1"/>
  <c r="H72" i="83" s="1"/>
  <c r="K12" i="83"/>
  <c r="L12" i="83" s="1"/>
  <c r="M12" i="83" s="1"/>
  <c r="N12" i="83" s="1"/>
  <c r="C74" i="83"/>
  <c r="E138" i="72"/>
  <c r="F138" i="72" s="1"/>
  <c r="F177" i="72" s="1"/>
  <c r="F182" i="72" s="1"/>
  <c r="D23" i="21" s="1"/>
  <c r="F4" i="22"/>
  <c r="G4" i="22"/>
  <c r="H4" i="22"/>
  <c r="H15" i="22" s="1"/>
  <c r="F15" i="22"/>
  <c r="F14" i="22"/>
  <c r="H13" i="22"/>
  <c r="F13" i="22"/>
  <c r="G12" i="22"/>
  <c r="F12" i="22"/>
  <c r="F11" i="22"/>
  <c r="F10" i="22"/>
  <c r="F8" i="22"/>
  <c r="G9" i="22"/>
  <c r="F9" i="22"/>
  <c r="C91" i="81"/>
  <c r="D91" i="81" s="1"/>
  <c r="C93" i="81"/>
  <c r="E17" i="42"/>
  <c r="F17" i="42" s="1"/>
  <c r="E29" i="42"/>
  <c r="C162" i="55"/>
  <c r="C163" i="55"/>
  <c r="E222" i="55" s="1"/>
  <c r="C164" i="55"/>
  <c r="E223" i="55" s="1"/>
  <c r="C9" i="42"/>
  <c r="C10" i="42" s="1"/>
  <c r="E21" i="42"/>
  <c r="E23" i="42" s="1"/>
  <c r="D162" i="55"/>
  <c r="F221" i="55" s="1"/>
  <c r="D163" i="55"/>
  <c r="F222" i="55"/>
  <c r="D164" i="55"/>
  <c r="G223" i="55" s="1"/>
  <c r="D9" i="42"/>
  <c r="D10" i="42" s="1"/>
  <c r="E162" i="55"/>
  <c r="G221" i="55"/>
  <c r="E163" i="55"/>
  <c r="G222" i="55" s="1"/>
  <c r="E164" i="55"/>
  <c r="E9" i="42"/>
  <c r="F162" i="55"/>
  <c r="F163" i="55"/>
  <c r="F164" i="55"/>
  <c r="G162" i="55"/>
  <c r="G163" i="55"/>
  <c r="G164" i="55"/>
  <c r="H162" i="55"/>
  <c r="H163" i="55"/>
  <c r="H164" i="55"/>
  <c r="A43" i="81"/>
  <c r="A68" i="81"/>
  <c r="A67" i="83"/>
  <c r="A95" i="83" s="1"/>
  <c r="A123" i="83" s="1"/>
  <c r="A66" i="83"/>
  <c r="A65" i="83"/>
  <c r="A93" i="83"/>
  <c r="A121" i="83"/>
  <c r="A64" i="83"/>
  <c r="A92" i="83" s="1"/>
  <c r="A120" i="83"/>
  <c r="C14" i="61"/>
  <c r="V9" i="61"/>
  <c r="V7" i="61"/>
  <c r="V13" i="61" s="1"/>
  <c r="V8" i="61"/>
  <c r="V10" i="61"/>
  <c r="V11" i="61"/>
  <c r="U11" i="61"/>
  <c r="U10" i="61"/>
  <c r="U8" i="61"/>
  <c r="U9" i="61"/>
  <c r="O11" i="61"/>
  <c r="P11" i="61" s="1"/>
  <c r="Q11" i="61" s="1"/>
  <c r="R11" i="61" s="1"/>
  <c r="N11" i="61"/>
  <c r="O10" i="61"/>
  <c r="P10" i="61" s="1"/>
  <c r="Q10" i="61" s="1"/>
  <c r="R10" i="61" s="1"/>
  <c r="N10" i="61"/>
  <c r="N9" i="61"/>
  <c r="N8" i="61"/>
  <c r="O8" i="61"/>
  <c r="P8" i="61" s="1"/>
  <c r="Q8" i="61" s="1"/>
  <c r="R8" i="61" s="1"/>
  <c r="R7" i="61"/>
  <c r="Q7" i="61"/>
  <c r="P7" i="61"/>
  <c r="O7" i="61"/>
  <c r="C13" i="61"/>
  <c r="I161" i="29"/>
  <c r="H161" i="29"/>
  <c r="G161" i="29"/>
  <c r="F161" i="29"/>
  <c r="E161" i="29"/>
  <c r="D161" i="29"/>
  <c r="C161" i="29"/>
  <c r="B125" i="29"/>
  <c r="B137" i="29"/>
  <c r="B149" i="29"/>
  <c r="B161" i="29" s="1"/>
  <c r="I149" i="29"/>
  <c r="H149" i="29"/>
  <c r="G149" i="29"/>
  <c r="F149" i="29"/>
  <c r="E149" i="29"/>
  <c r="D149" i="29"/>
  <c r="C149" i="29"/>
  <c r="I137" i="29"/>
  <c r="H137" i="29"/>
  <c r="G137" i="29"/>
  <c r="F137" i="29"/>
  <c r="E137" i="29"/>
  <c r="D137" i="29"/>
  <c r="C137" i="29"/>
  <c r="I125" i="29"/>
  <c r="H125" i="29"/>
  <c r="G125" i="29"/>
  <c r="F125" i="29"/>
  <c r="E125" i="29"/>
  <c r="D125" i="29"/>
  <c r="C125" i="29"/>
  <c r="B124" i="29"/>
  <c r="B123" i="29"/>
  <c r="B122" i="29"/>
  <c r="B34" i="29"/>
  <c r="B33" i="29"/>
  <c r="B32" i="29"/>
  <c r="C42" i="61"/>
  <c r="C41" i="61"/>
  <c r="C40" i="61"/>
  <c r="A54" i="55"/>
  <c r="A111" i="55" s="1"/>
  <c r="A163" i="55" s="1"/>
  <c r="A222" i="55" s="1"/>
  <c r="A53" i="55"/>
  <c r="A110" i="55"/>
  <c r="A162" i="55" s="1"/>
  <c r="A221" i="55" s="1"/>
  <c r="A56" i="55"/>
  <c r="A113" i="55" s="1"/>
  <c r="A165" i="55" s="1"/>
  <c r="A224" i="55" s="1"/>
  <c r="A275" i="55" s="1"/>
  <c r="A70" i="83"/>
  <c r="A98" i="83"/>
  <c r="A126" i="83"/>
  <c r="A69" i="83"/>
  <c r="A97" i="83" s="1"/>
  <c r="A125" i="83" s="1"/>
  <c r="A68" i="83"/>
  <c r="A57" i="55" s="1"/>
  <c r="A114" i="55" s="1"/>
  <c r="A166" i="55" s="1"/>
  <c r="A225" i="55" s="1"/>
  <c r="A276" i="55" s="1"/>
  <c r="A96" i="83"/>
  <c r="A124" i="83" s="1"/>
  <c r="A63" i="83"/>
  <c r="A91" i="83" s="1"/>
  <c r="A119" i="83" s="1"/>
  <c r="A62" i="83"/>
  <c r="A90" i="83"/>
  <c r="A118" i="83"/>
  <c r="A61" i="83"/>
  <c r="A60" i="83"/>
  <c r="A59" i="83"/>
  <c r="A87" i="83"/>
  <c r="A115" i="83"/>
  <c r="A58" i="83"/>
  <c r="A86" i="83"/>
  <c r="A114" i="83" s="1"/>
  <c r="A57" i="83"/>
  <c r="A85" i="83" s="1"/>
  <c r="A113" i="83" s="1"/>
  <c r="A56" i="83"/>
  <c r="A45" i="55" s="1"/>
  <c r="A102" i="55" s="1"/>
  <c r="A84" i="83"/>
  <c r="A112" i="83" s="1"/>
  <c r="A55" i="83"/>
  <c r="A83" i="83"/>
  <c r="A111" i="83" s="1"/>
  <c r="A54" i="83"/>
  <c r="A82" i="83"/>
  <c r="A110" i="83"/>
  <c r="A53" i="83"/>
  <c r="A52" i="83"/>
  <c r="A51" i="83"/>
  <c r="A79" i="83"/>
  <c r="A107" i="83"/>
  <c r="A50" i="83"/>
  <c r="A78" i="83"/>
  <c r="A106" i="83" s="1"/>
  <c r="A49" i="83"/>
  <c r="A77" i="83" s="1"/>
  <c r="A105" i="83" s="1"/>
  <c r="A48" i="83"/>
  <c r="A37" i="55" s="1"/>
  <c r="A94" i="55" s="1"/>
  <c r="A76" i="83"/>
  <c r="A104" i="83" s="1"/>
  <c r="A47" i="83"/>
  <c r="A75" i="83" s="1"/>
  <c r="A103" i="83" s="1"/>
  <c r="A46" i="83"/>
  <c r="A74" i="83"/>
  <c r="A102" i="83"/>
  <c r="A63" i="81"/>
  <c r="A88" i="81" s="1"/>
  <c r="A113" i="81"/>
  <c r="A62" i="81"/>
  <c r="A61" i="81"/>
  <c r="A86" i="81"/>
  <c r="A111" i="81" s="1"/>
  <c r="A44" i="81"/>
  <c r="A69" i="81"/>
  <c r="A14" i="72" s="1"/>
  <c r="A38" i="72" s="1"/>
  <c r="A62" i="72" s="1"/>
  <c r="A34" i="55"/>
  <c r="A35" i="55"/>
  <c r="A92" i="55" s="1"/>
  <c r="A38" i="55"/>
  <c r="A95" i="55" s="1"/>
  <c r="A147" i="55" s="1"/>
  <c r="A206" i="55" s="1"/>
  <c r="A260" i="55" s="1"/>
  <c r="A39" i="55"/>
  <c r="A96" i="55" s="1"/>
  <c r="A148" i="55" s="1"/>
  <c r="A207" i="55" s="1"/>
  <c r="A261" i="55" s="1"/>
  <c r="A40" i="55"/>
  <c r="A43" i="55"/>
  <c r="A100" i="55" s="1"/>
  <c r="A44" i="55"/>
  <c r="A46" i="55"/>
  <c r="A103" i="55" s="1"/>
  <c r="A155" i="55" s="1"/>
  <c r="A214" i="55" s="1"/>
  <c r="A268" i="55" s="1"/>
  <c r="A47" i="55"/>
  <c r="A104" i="55" s="1"/>
  <c r="A48" i="55"/>
  <c r="A51" i="55"/>
  <c r="A108" i="55" s="1"/>
  <c r="A160" i="55" s="1"/>
  <c r="A219" i="55" s="1"/>
  <c r="A273" i="55" s="1"/>
  <c r="A52" i="55"/>
  <c r="A109" i="55" s="1"/>
  <c r="A161" i="55" s="1"/>
  <c r="A220" i="55" s="1"/>
  <c r="A274" i="55" s="1"/>
  <c r="A58" i="55"/>
  <c r="A115" i="55" s="1"/>
  <c r="A167" i="55" s="1"/>
  <c r="A226" i="55" s="1"/>
  <c r="A277" i="55" s="1"/>
  <c r="A59" i="55"/>
  <c r="A116" i="55" s="1"/>
  <c r="A168" i="55" s="1"/>
  <c r="A227" i="55" s="1"/>
  <c r="A278" i="55" s="1"/>
  <c r="A279" i="55"/>
  <c r="A280" i="55"/>
  <c r="A105" i="55"/>
  <c r="A157" i="55" s="1"/>
  <c r="A216" i="55" s="1"/>
  <c r="A270" i="55" s="1"/>
  <c r="A156" i="55"/>
  <c r="A215" i="55" s="1"/>
  <c r="A269" i="55" s="1"/>
  <c r="A154" i="55"/>
  <c r="A213" i="55" s="1"/>
  <c r="A267" i="55" s="1"/>
  <c r="A101" i="55"/>
  <c r="A153" i="55" s="1"/>
  <c r="A212" i="55" s="1"/>
  <c r="A266" i="55" s="1"/>
  <c r="A152" i="55"/>
  <c r="A211" i="55"/>
  <c r="A265" i="55" s="1"/>
  <c r="A97" i="55"/>
  <c r="A149" i="55" s="1"/>
  <c r="A208" i="55" s="1"/>
  <c r="A262" i="55" s="1"/>
  <c r="A146" i="55"/>
  <c r="A205" i="55" s="1"/>
  <c r="A259" i="55" s="1"/>
  <c r="A144" i="55"/>
  <c r="A203" i="55" s="1"/>
  <c r="A257" i="55" s="1"/>
  <c r="A91" i="55"/>
  <c r="A143" i="55"/>
  <c r="A202" i="55" s="1"/>
  <c r="A256" i="55" s="1"/>
  <c r="A255" i="55"/>
  <c r="A254" i="55"/>
  <c r="A31" i="55"/>
  <c r="A88" i="55" s="1"/>
  <c r="A140" i="55" s="1"/>
  <c r="A198" i="55" s="1"/>
  <c r="A253" i="55" s="1"/>
  <c r="A29" i="55"/>
  <c r="A86" i="55" s="1"/>
  <c r="A138" i="55" s="1"/>
  <c r="A196" i="55" s="1"/>
  <c r="A251" i="55" s="1"/>
  <c r="A60" i="81"/>
  <c r="A28" i="55" s="1"/>
  <c r="A85" i="55" s="1"/>
  <c r="A137" i="55" s="1"/>
  <c r="A195" i="55" s="1"/>
  <c r="A250" i="55" s="1"/>
  <c r="E177" i="72"/>
  <c r="E182" i="72" s="1"/>
  <c r="C23" i="21" s="1"/>
  <c r="E37" i="42"/>
  <c r="E43" i="42" s="1"/>
  <c r="C24" i="21" s="1"/>
  <c r="G34" i="21"/>
  <c r="H34" i="21"/>
  <c r="H87" i="22"/>
  <c r="I87" i="22"/>
  <c r="A61" i="22"/>
  <c r="A62" i="22"/>
  <c r="A63" i="22"/>
  <c r="A64" i="22"/>
  <c r="B134" i="29"/>
  <c r="B146" i="29" s="1"/>
  <c r="B158" i="29" s="1"/>
  <c r="B135" i="29"/>
  <c r="B147" i="29" s="1"/>
  <c r="B136" i="29"/>
  <c r="B148" i="29"/>
  <c r="B160" i="29" s="1"/>
  <c r="B159" i="29"/>
  <c r="H32" i="57"/>
  <c r="H108" i="29"/>
  <c r="I108" i="29"/>
  <c r="C62" i="29"/>
  <c r="D62" i="29"/>
  <c r="E62" i="29"/>
  <c r="F62" i="29" s="1"/>
  <c r="G62" i="29"/>
  <c r="H62" i="29" s="1"/>
  <c r="I62" i="29" s="1"/>
  <c r="H58" i="29"/>
  <c r="I58" i="29"/>
  <c r="I12" i="29"/>
  <c r="J12" i="29"/>
  <c r="V12" i="83"/>
  <c r="W12" i="83" s="1"/>
  <c r="X12" i="83" s="1"/>
  <c r="P12" i="83"/>
  <c r="Q12" i="83"/>
  <c r="R12" i="83"/>
  <c r="S12" i="83"/>
  <c r="T12" i="83" s="1"/>
  <c r="B101" i="81"/>
  <c r="C101" i="81"/>
  <c r="D101" i="81" s="1"/>
  <c r="A45" i="81"/>
  <c r="A70" i="81" s="1"/>
  <c r="A95" i="81" s="1"/>
  <c r="A59" i="81"/>
  <c r="A84" i="81" s="1"/>
  <c r="A109" i="81" s="1"/>
  <c r="A58" i="81"/>
  <c r="A83" i="81" s="1"/>
  <c r="A57" i="81"/>
  <c r="A56" i="81"/>
  <c r="A81" i="81" s="1"/>
  <c r="A26" i="72" s="1"/>
  <c r="A50" i="72" s="1"/>
  <c r="A108" i="72" s="1"/>
  <c r="A106" i="81"/>
  <c r="A55" i="81"/>
  <c r="A80" i="81"/>
  <c r="A25" i="72" s="1"/>
  <c r="A49" i="72" s="1"/>
  <c r="A103" i="72" s="1"/>
  <c r="A54" i="81"/>
  <c r="A79" i="81"/>
  <c r="A104" i="81" s="1"/>
  <c r="A53" i="81"/>
  <c r="A78" i="81"/>
  <c r="A23" i="72" s="1"/>
  <c r="A47" i="72" s="1"/>
  <c r="A94" i="72" s="1"/>
  <c r="A103" i="81"/>
  <c r="A52" i="81"/>
  <c r="A77" i="81"/>
  <c r="A50" i="81"/>
  <c r="A75" i="81" s="1"/>
  <c r="A100" i="81" s="1"/>
  <c r="A49" i="81"/>
  <c r="A17" i="55" s="1"/>
  <c r="A74" i="81"/>
  <c r="A19" i="72" s="1"/>
  <c r="A43" i="72" s="1"/>
  <c r="A80" i="72" s="1"/>
  <c r="A99" i="81"/>
  <c r="A48" i="81"/>
  <c r="A47" i="81"/>
  <c r="A72" i="81" s="1"/>
  <c r="A46" i="81"/>
  <c r="A14" i="55" s="1"/>
  <c r="A71" i="55" s="1"/>
  <c r="A94" i="81"/>
  <c r="A51" i="81"/>
  <c r="A76" i="81" s="1"/>
  <c r="A101" i="81" s="1"/>
  <c r="A21" i="72"/>
  <c r="A45" i="72" s="1"/>
  <c r="A20" i="72"/>
  <c r="A44" i="72" s="1"/>
  <c r="A83" i="72" s="1"/>
  <c r="A126" i="72"/>
  <c r="A31" i="72"/>
  <c r="A55" i="72" s="1"/>
  <c r="A123" i="72" s="1"/>
  <c r="A24" i="72"/>
  <c r="A48" i="72" s="1"/>
  <c r="A98" i="72" s="1"/>
  <c r="A27" i="55"/>
  <c r="A84" i="55" s="1"/>
  <c r="A136" i="55" s="1"/>
  <c r="A194" i="55" s="1"/>
  <c r="A249" i="55" s="1"/>
  <c r="A26" i="55"/>
  <c r="A83" i="55"/>
  <c r="A135" i="55" s="1"/>
  <c r="A193" i="55" s="1"/>
  <c r="A248" i="55" s="1"/>
  <c r="A24" i="55"/>
  <c r="A81" i="55" s="1"/>
  <c r="A133" i="55" s="1"/>
  <c r="A191" i="55" s="1"/>
  <c r="A246" i="55" s="1"/>
  <c r="A23" i="55"/>
  <c r="A80" i="55"/>
  <c r="A132" i="55"/>
  <c r="A190" i="55" s="1"/>
  <c r="A245" i="55" s="1"/>
  <c r="A22" i="55"/>
  <c r="A79" i="55" s="1"/>
  <c r="A131" i="55"/>
  <c r="A189" i="55" s="1"/>
  <c r="A244" i="55" s="1"/>
  <c r="A21" i="55"/>
  <c r="A78" i="55" s="1"/>
  <c r="A130" i="55" s="1"/>
  <c r="A188" i="55" s="1"/>
  <c r="A243" i="55" s="1"/>
  <c r="A20" i="55"/>
  <c r="A77" i="55"/>
  <c r="A129" i="55"/>
  <c r="A187" i="55" s="1"/>
  <c r="A242" i="55" s="1"/>
  <c r="A19" i="55"/>
  <c r="A76" i="55" s="1"/>
  <c r="A128" i="55" s="1"/>
  <c r="A186" i="55" s="1"/>
  <c r="A241" i="55" s="1"/>
  <c r="A18" i="55"/>
  <c r="A75" i="55" s="1"/>
  <c r="A127" i="55" s="1"/>
  <c r="A185" i="55" s="1"/>
  <c r="A240" i="55" s="1"/>
  <c r="A74" i="55"/>
  <c r="A126" i="55"/>
  <c r="A184" i="55" s="1"/>
  <c r="A239" i="55" s="1"/>
  <c r="A15" i="55"/>
  <c r="A72" i="55"/>
  <c r="A124" i="55" s="1"/>
  <c r="A182" i="55" s="1"/>
  <c r="A237" i="55" s="1"/>
  <c r="A123" i="55"/>
  <c r="A181" i="55"/>
  <c r="A236" i="55" s="1"/>
  <c r="A13" i="55"/>
  <c r="A70" i="55" s="1"/>
  <c r="A122" i="55" s="1"/>
  <c r="A180" i="55" s="1"/>
  <c r="A235" i="55" s="1"/>
  <c r="A12" i="55"/>
  <c r="A69" i="55" s="1"/>
  <c r="A121" i="55" s="1"/>
  <c r="A179" i="55" s="1"/>
  <c r="A234" i="55" s="1"/>
  <c r="A11" i="55"/>
  <c r="A68" i="55" s="1"/>
  <c r="A120" i="55" s="1"/>
  <c r="A178" i="55"/>
  <c r="A233" i="55" s="1"/>
  <c r="A32" i="55"/>
  <c r="A89" i="55" s="1"/>
  <c r="A141" i="55" s="1"/>
  <c r="J94" i="29"/>
  <c r="I94" i="29"/>
  <c r="B95" i="29"/>
  <c r="B94" i="29"/>
  <c r="B93" i="29"/>
  <c r="B92" i="29"/>
  <c r="A17" i="21"/>
  <c r="A24" i="21" s="1"/>
  <c r="A16" i="21"/>
  <c r="A23" i="21"/>
  <c r="A15" i="21"/>
  <c r="A22" i="21" s="1"/>
  <c r="D45" i="42"/>
  <c r="D47" i="42" s="1"/>
  <c r="K150" i="72"/>
  <c r="H28" i="69"/>
  <c r="B16" i="68"/>
  <c r="B15" i="68"/>
  <c r="H27" i="69"/>
  <c r="H31" i="69"/>
  <c r="C27" i="69"/>
  <c r="B27" i="69"/>
  <c r="D27" i="69"/>
  <c r="E27" i="69"/>
  <c r="G27" i="69"/>
  <c r="F27" i="69"/>
  <c r="H67" i="57" l="1"/>
  <c r="F107" i="57"/>
  <c r="D9" i="62" s="1"/>
  <c r="C19" i="68" s="1"/>
  <c r="G65" i="57"/>
  <c r="G86" i="22"/>
  <c r="F34" i="21" s="1"/>
  <c r="H94" i="29" s="1"/>
  <c r="D18" i="81"/>
  <c r="B97" i="81" s="1"/>
  <c r="C97" i="81" s="1"/>
  <c r="D97" i="81" s="1"/>
  <c r="E97" i="81" s="1"/>
  <c r="F97" i="81" s="1"/>
  <c r="G97" i="81" s="1"/>
  <c r="H97" i="81" s="1"/>
  <c r="C9" i="81"/>
  <c r="E86" i="22"/>
  <c r="E87" i="22" s="1"/>
  <c r="C20" i="68"/>
  <c r="F86" i="22"/>
  <c r="E34" i="21" s="1"/>
  <c r="F58" i="29" s="1"/>
  <c r="D15" i="81"/>
  <c r="B94" i="81" s="1"/>
  <c r="G59" i="57"/>
  <c r="C33" i="81"/>
  <c r="D37" i="81" s="1"/>
  <c r="F37" i="81" s="1"/>
  <c r="H37" i="81" s="1"/>
  <c r="C24" i="81"/>
  <c r="A85" i="81"/>
  <c r="B10" i="21"/>
  <c r="C160" i="29" s="1"/>
  <c r="D20" i="81"/>
  <c r="F20" i="81" s="1"/>
  <c r="H20" i="81" s="1"/>
  <c r="D16" i="81"/>
  <c r="B95" i="81" s="1"/>
  <c r="C95" i="81" s="1"/>
  <c r="D95" i="81" s="1"/>
  <c r="D17" i="81"/>
  <c r="B96" i="81" s="1"/>
  <c r="C96" i="81" s="1"/>
  <c r="D96" i="81" s="1"/>
  <c r="C114" i="81"/>
  <c r="C100" i="81"/>
  <c r="D19" i="81"/>
  <c r="B98" i="81" s="1"/>
  <c r="C98" i="81" s="1"/>
  <c r="D98" i="81" s="1"/>
  <c r="E12" i="29"/>
  <c r="G12" i="57"/>
  <c r="D87" i="22"/>
  <c r="A17" i="72"/>
  <c r="A41" i="72" s="1"/>
  <c r="A72" i="72" s="1"/>
  <c r="A97" i="81"/>
  <c r="A28" i="72"/>
  <c r="A52" i="72" s="1"/>
  <c r="A114" i="72" s="1"/>
  <c r="A108" i="81"/>
  <c r="A82" i="81"/>
  <c r="A25" i="55"/>
  <c r="A82" i="55" s="1"/>
  <c r="A134" i="55" s="1"/>
  <c r="A192" i="55" s="1"/>
  <c r="A247" i="55" s="1"/>
  <c r="G17" i="42"/>
  <c r="F27" i="42"/>
  <c r="F28" i="42"/>
  <c r="F29" i="42"/>
  <c r="F37" i="42"/>
  <c r="F43" i="42" s="1"/>
  <c r="D24" i="21" s="1"/>
  <c r="G138" i="72"/>
  <c r="A36" i="55"/>
  <c r="A93" i="55" s="1"/>
  <c r="A145" i="55" s="1"/>
  <c r="A204" i="55" s="1"/>
  <c r="A258" i="55" s="1"/>
  <c r="A50" i="55"/>
  <c r="A107" i="55" s="1"/>
  <c r="A159" i="55" s="1"/>
  <c r="A218" i="55" s="1"/>
  <c r="A272" i="55" s="1"/>
  <c r="A89" i="83"/>
  <c r="A117" i="83" s="1"/>
  <c r="A29" i="72"/>
  <c r="A53" i="72" s="1"/>
  <c r="A117" i="72" s="1"/>
  <c r="A71" i="81"/>
  <c r="A105" i="81"/>
  <c r="A15" i="72"/>
  <c r="A39" i="72" s="1"/>
  <c r="A65" i="72" s="1"/>
  <c r="D58" i="29"/>
  <c r="D108" i="29"/>
  <c r="A94" i="83"/>
  <c r="A122" i="83" s="1"/>
  <c r="A55" i="55"/>
  <c r="A112" i="55" s="1"/>
  <c r="A164" i="55" s="1"/>
  <c r="A223" i="55" s="1"/>
  <c r="A102" i="81"/>
  <c r="A22" i="72"/>
  <c r="A46" i="72" s="1"/>
  <c r="A91" i="72" s="1"/>
  <c r="A73" i="81"/>
  <c r="A16" i="55"/>
  <c r="A73" i="55" s="1"/>
  <c r="A125" i="55" s="1"/>
  <c r="A183" i="55" s="1"/>
  <c r="A238" i="55" s="1"/>
  <c r="A110" i="81"/>
  <c r="A30" i="72"/>
  <c r="A54" i="72" s="1"/>
  <c r="A120" i="72" s="1"/>
  <c r="A13" i="72"/>
  <c r="A37" i="72" s="1"/>
  <c r="A58" i="72" s="1"/>
  <c r="A93" i="81"/>
  <c r="G12" i="29"/>
  <c r="A87" i="81"/>
  <c r="A112" i="81" s="1"/>
  <c r="A30" i="55"/>
  <c r="A87" i="55" s="1"/>
  <c r="A139" i="55" s="1"/>
  <c r="A197" i="55" s="1"/>
  <c r="A252" i="55" s="1"/>
  <c r="F223" i="55"/>
  <c r="D100" i="81"/>
  <c r="D93" i="81"/>
  <c r="E91" i="81"/>
  <c r="F91" i="81" s="1"/>
  <c r="G91" i="81" s="1"/>
  <c r="H91" i="81" s="1"/>
  <c r="A80" i="83"/>
  <c r="A108" i="83" s="1"/>
  <c r="A41" i="55"/>
  <c r="A98" i="55" s="1"/>
  <c r="A150" i="55" s="1"/>
  <c r="A209" i="55" s="1"/>
  <c r="A263" i="55" s="1"/>
  <c r="E10" i="42"/>
  <c r="G21" i="42" s="1"/>
  <c r="G23" i="42" s="1"/>
  <c r="F9" i="42"/>
  <c r="A88" i="83"/>
  <c r="A116" i="83" s="1"/>
  <c r="A49" i="55"/>
  <c r="A106" i="55" s="1"/>
  <c r="A158" i="55" s="1"/>
  <c r="A217" i="55" s="1"/>
  <c r="A271" i="55" s="1"/>
  <c r="A42" i="55"/>
  <c r="A99" i="55" s="1"/>
  <c r="A151" i="55" s="1"/>
  <c r="A210" i="55" s="1"/>
  <c r="A264" i="55" s="1"/>
  <c r="A81" i="83"/>
  <c r="A109" i="83" s="1"/>
  <c r="F32" i="61"/>
  <c r="C10" i="21"/>
  <c r="E221" i="55"/>
  <c r="F9" i="62"/>
  <c r="B107" i="83"/>
  <c r="C107" i="83" s="1"/>
  <c r="D107" i="83" s="1"/>
  <c r="E107" i="83" s="1"/>
  <c r="F107" i="83" s="1"/>
  <c r="G107" i="83" s="1"/>
  <c r="H107" i="83" s="1"/>
  <c r="F19" i="83"/>
  <c r="H19" i="83" s="1"/>
  <c r="F21" i="42"/>
  <c r="F23" i="42" s="1"/>
  <c r="H18" i="22"/>
  <c r="H20" i="22"/>
  <c r="H21" i="22"/>
  <c r="H16" i="22"/>
  <c r="H19" i="22"/>
  <c r="H14" i="22"/>
  <c r="H10" i="22"/>
  <c r="I4" i="22"/>
  <c r="H12" i="22"/>
  <c r="H9" i="22"/>
  <c r="H11" i="22"/>
  <c r="H8" i="22"/>
  <c r="H22" i="22"/>
  <c r="G17" i="22"/>
  <c r="G19" i="22"/>
  <c r="G20" i="22"/>
  <c r="G22" i="22"/>
  <c r="G13" i="22"/>
  <c r="G8" i="22"/>
  <c r="G21" i="22"/>
  <c r="G14" i="22"/>
  <c r="G10" i="22"/>
  <c r="G16" i="22"/>
  <c r="G11" i="22"/>
  <c r="G18" i="22"/>
  <c r="G15" i="22"/>
  <c r="B126" i="83"/>
  <c r="C126" i="83" s="1"/>
  <c r="D126" i="83" s="1"/>
  <c r="E126" i="83" s="1"/>
  <c r="F126" i="83" s="1"/>
  <c r="G126" i="83" s="1"/>
  <c r="H126" i="83" s="1"/>
  <c r="F40" i="83"/>
  <c r="H40" i="83" s="1"/>
  <c r="B123" i="83"/>
  <c r="C123" i="83" s="1"/>
  <c r="D123" i="83" s="1"/>
  <c r="E123" i="83" s="1"/>
  <c r="F123" i="83" s="1"/>
  <c r="G123" i="83" s="1"/>
  <c r="H123" i="83" s="1"/>
  <c r="F37" i="83"/>
  <c r="H37" i="83" s="1"/>
  <c r="D114" i="81"/>
  <c r="F10" i="62"/>
  <c r="C86" i="22"/>
  <c r="E27" i="42"/>
  <c r="E28" i="42"/>
  <c r="B51" i="81"/>
  <c r="B76" i="81"/>
  <c r="F82" i="57"/>
  <c r="D7" i="62" s="1"/>
  <c r="B103" i="83"/>
  <c r="C103" i="83" s="1"/>
  <c r="D103" i="83" s="1"/>
  <c r="E103" i="83" s="1"/>
  <c r="F103" i="83" s="1"/>
  <c r="G103" i="83" s="1"/>
  <c r="H103" i="83" s="1"/>
  <c r="F15" i="83"/>
  <c r="H15" i="83" s="1"/>
  <c r="B43" i="81"/>
  <c r="B68" i="81"/>
  <c r="F199" i="55"/>
  <c r="F16" i="22"/>
  <c r="F23" i="22" s="1"/>
  <c r="C26" i="21" s="1"/>
  <c r="F18" i="22"/>
  <c r="F19" i="22"/>
  <c r="F21" i="22"/>
  <c r="F22" i="22"/>
  <c r="G47" i="57"/>
  <c r="H172" i="55"/>
  <c r="G254" i="55"/>
  <c r="G255" i="55"/>
  <c r="G279" i="55"/>
  <c r="G280" i="55"/>
  <c r="E23" i="22"/>
  <c r="B26" i="21" s="1"/>
  <c r="F96" i="57"/>
  <c r="D8" i="62" s="1"/>
  <c r="F254" i="55"/>
  <c r="D16" i="83"/>
  <c r="D21" i="83"/>
  <c r="D38" i="83"/>
  <c r="D17" i="83"/>
  <c r="C32" i="83"/>
  <c r="D39" i="83"/>
  <c r="D18" i="83"/>
  <c r="C23" i="83"/>
  <c r="D14" i="83"/>
  <c r="D20" i="83"/>
  <c r="D22" i="83"/>
  <c r="F17" i="22"/>
  <c r="B17" i="21"/>
  <c r="E42" i="61"/>
  <c r="G32" i="57"/>
  <c r="H33" i="72"/>
  <c r="H34" i="72" s="1"/>
  <c r="G34" i="72"/>
  <c r="B75" i="81"/>
  <c r="B50" i="81"/>
  <c r="E199" i="55"/>
  <c r="G199" i="55"/>
  <c r="E254" i="55"/>
  <c r="H12" i="29" l="1"/>
  <c r="G58" i="29"/>
  <c r="C55" i="22"/>
  <c r="C56" i="22" s="1"/>
  <c r="C57" i="22" s="1"/>
  <c r="G108" i="29"/>
  <c r="G87" i="22"/>
  <c r="D34" i="21"/>
  <c r="F12" i="29" s="1"/>
  <c r="F87" i="22"/>
  <c r="D5" i="62"/>
  <c r="C37" i="22" s="1"/>
  <c r="D38" i="22" s="1"/>
  <c r="F108" i="29"/>
  <c r="G94" i="29"/>
  <c r="D30" i="81"/>
  <c r="F30" i="81" s="1"/>
  <c r="H30" i="81" s="1"/>
  <c r="B57" i="81" s="1"/>
  <c r="D27" i="81"/>
  <c r="B104" i="81" s="1"/>
  <c r="D25" i="81"/>
  <c r="B102" i="81" s="1"/>
  <c r="C102" i="81" s="1"/>
  <c r="D102" i="81" s="1"/>
  <c r="E102" i="81" s="1"/>
  <c r="F102" i="81" s="1"/>
  <c r="G102" i="81" s="1"/>
  <c r="H102" i="81" s="1"/>
  <c r="D35" i="81"/>
  <c r="F35" i="81" s="1"/>
  <c r="H35" i="81" s="1"/>
  <c r="B86" i="81" s="1"/>
  <c r="C86" i="81" s="1"/>
  <c r="B113" i="81"/>
  <c r="C113" i="81" s="1"/>
  <c r="D113" i="81" s="1"/>
  <c r="E113" i="81" s="1"/>
  <c r="F113" i="81" s="1"/>
  <c r="G113" i="81" s="1"/>
  <c r="H113" i="81" s="1"/>
  <c r="D36" i="81"/>
  <c r="F36" i="81" s="1"/>
  <c r="H36" i="81" s="1"/>
  <c r="B62" i="81" s="1"/>
  <c r="B30" i="55" s="1"/>
  <c r="B87" i="55" s="1"/>
  <c r="B139" i="55" s="1"/>
  <c r="D197" i="55" s="1"/>
  <c r="D31" i="81"/>
  <c r="F31" i="81" s="1"/>
  <c r="H31" i="81" s="1"/>
  <c r="B83" i="81" s="1"/>
  <c r="B99" i="81"/>
  <c r="C99" i="81" s="1"/>
  <c r="D99" i="81" s="1"/>
  <c r="E99" i="81" s="1"/>
  <c r="F99" i="81" s="1"/>
  <c r="G99" i="81" s="1"/>
  <c r="H99" i="81" s="1"/>
  <c r="D34" i="81"/>
  <c r="D32" i="81"/>
  <c r="B109" i="81" s="1"/>
  <c r="C109" i="81" s="1"/>
  <c r="D109" i="81" s="1"/>
  <c r="E109" i="81" s="1"/>
  <c r="F109" i="81" s="1"/>
  <c r="G109" i="81" s="1"/>
  <c r="H109" i="81" s="1"/>
  <c r="D29" i="81"/>
  <c r="B106" i="81" s="1"/>
  <c r="C106" i="81" s="1"/>
  <c r="D106" i="81" s="1"/>
  <c r="E106" i="81" s="1"/>
  <c r="F106" i="81" s="1"/>
  <c r="G106" i="81" s="1"/>
  <c r="H106" i="81" s="1"/>
  <c r="E34" i="42"/>
  <c r="C148" i="29"/>
  <c r="C136" i="29"/>
  <c r="C124" i="29"/>
  <c r="C34" i="29"/>
  <c r="F16" i="81"/>
  <c r="H16" i="81" s="1"/>
  <c r="B45" i="81" s="1"/>
  <c r="B13" i="55" s="1"/>
  <c r="B70" i="55" s="1"/>
  <c r="F19" i="81"/>
  <c r="H19" i="81" s="1"/>
  <c r="B73" i="81" s="1"/>
  <c r="C73" i="81" s="1"/>
  <c r="F18" i="81"/>
  <c r="H18" i="81" s="1"/>
  <c r="F17" i="81"/>
  <c r="H17" i="81" s="1"/>
  <c r="B46" i="81" s="1"/>
  <c r="B14" i="55" s="1"/>
  <c r="B71" i="55" s="1"/>
  <c r="D26" i="81"/>
  <c r="B103" i="81" s="1"/>
  <c r="D28" i="81"/>
  <c r="B105" i="81" s="1"/>
  <c r="B63" i="81"/>
  <c r="B88" i="81"/>
  <c r="C88" i="81" s="1"/>
  <c r="D88" i="81" s="1"/>
  <c r="E88" i="81" s="1"/>
  <c r="F88" i="81" s="1"/>
  <c r="G88" i="81" s="1"/>
  <c r="H88" i="81" s="1"/>
  <c r="C94" i="81"/>
  <c r="D94" i="81" s="1"/>
  <c r="E94" i="81" s="1"/>
  <c r="F94" i="81" s="1"/>
  <c r="G94" i="81" s="1"/>
  <c r="H94" i="81" s="1"/>
  <c r="F15" i="81"/>
  <c r="H15" i="81" s="1"/>
  <c r="B75" i="83"/>
  <c r="C75" i="83" s="1"/>
  <c r="D75" i="83" s="1"/>
  <c r="E75" i="83" s="1"/>
  <c r="F75" i="83" s="1"/>
  <c r="G75" i="83" s="1"/>
  <c r="H75" i="83" s="1"/>
  <c r="B47" i="83"/>
  <c r="F34" i="42"/>
  <c r="O9" i="61"/>
  <c r="B125" i="83"/>
  <c r="C125" i="83" s="1"/>
  <c r="D125" i="83" s="1"/>
  <c r="E125" i="83" s="1"/>
  <c r="F125" i="83" s="1"/>
  <c r="G125" i="83" s="1"/>
  <c r="H125" i="83" s="1"/>
  <c r="F39" i="83"/>
  <c r="H39" i="83" s="1"/>
  <c r="E114" i="81"/>
  <c r="F114" i="81" s="1"/>
  <c r="G114" i="81" s="1"/>
  <c r="H114" i="81" s="1"/>
  <c r="B70" i="83"/>
  <c r="B98" i="83"/>
  <c r="C98" i="83" s="1"/>
  <c r="D98" i="83" s="1"/>
  <c r="E98" i="83" s="1"/>
  <c r="F98" i="83" s="1"/>
  <c r="G98" i="83" s="1"/>
  <c r="H98" i="83" s="1"/>
  <c r="G32" i="61"/>
  <c r="D10" i="21"/>
  <c r="A16" i="72"/>
  <c r="A40" i="72" s="1"/>
  <c r="A69" i="72" s="1"/>
  <c r="A96" i="81"/>
  <c r="G28" i="42"/>
  <c r="H17" i="42"/>
  <c r="G29" i="42"/>
  <c r="G27" i="42"/>
  <c r="G37" i="42"/>
  <c r="G43" i="42" s="1"/>
  <c r="E24" i="21" s="1"/>
  <c r="B19" i="55"/>
  <c r="B76" i="55" s="1"/>
  <c r="C51" i="81"/>
  <c r="H279" i="55"/>
  <c r="H254" i="55"/>
  <c r="I172" i="55"/>
  <c r="H255" i="55"/>
  <c r="H280" i="55"/>
  <c r="H223" i="55"/>
  <c r="B13" i="72"/>
  <c r="C68" i="81"/>
  <c r="E101" i="81"/>
  <c r="F101" i="81" s="1"/>
  <c r="G101" i="81" s="1"/>
  <c r="H101" i="81" s="1"/>
  <c r="B18" i="55"/>
  <c r="B75" i="55" s="1"/>
  <c r="C50" i="81"/>
  <c r="F17" i="83"/>
  <c r="H17" i="83" s="1"/>
  <c r="B105" i="83"/>
  <c r="C105" i="83" s="1"/>
  <c r="D105" i="83" s="1"/>
  <c r="E105" i="83" s="1"/>
  <c r="F105" i="83" s="1"/>
  <c r="G105" i="83" s="1"/>
  <c r="H105" i="83" s="1"/>
  <c r="B11" i="55"/>
  <c r="C43" i="81"/>
  <c r="B95" i="83"/>
  <c r="C95" i="83" s="1"/>
  <c r="D95" i="83" s="1"/>
  <c r="E95" i="83" s="1"/>
  <c r="F95" i="83" s="1"/>
  <c r="G95" i="83" s="1"/>
  <c r="H95" i="83" s="1"/>
  <c r="B67" i="83"/>
  <c r="E98" i="81"/>
  <c r="F98" i="81" s="1"/>
  <c r="G98" i="81" s="1"/>
  <c r="H98" i="81" s="1"/>
  <c r="G23" i="22"/>
  <c r="D26" i="21" s="1"/>
  <c r="B79" i="83"/>
  <c r="C79" i="83" s="1"/>
  <c r="D79" i="83" s="1"/>
  <c r="E79" i="83" s="1"/>
  <c r="F79" i="83" s="1"/>
  <c r="G79" i="83" s="1"/>
  <c r="H79" i="83" s="1"/>
  <c r="B51" i="83"/>
  <c r="D124" i="29"/>
  <c r="D34" i="29"/>
  <c r="D148" i="29"/>
  <c r="D160" i="29"/>
  <c r="D136" i="29"/>
  <c r="E96" i="81"/>
  <c r="F96" i="81" s="1"/>
  <c r="G96" i="81" s="1"/>
  <c r="H96" i="81" s="1"/>
  <c r="D28" i="83"/>
  <c r="D29" i="83"/>
  <c r="D25" i="83"/>
  <c r="D30" i="83"/>
  <c r="D26" i="83"/>
  <c r="D24" i="83"/>
  <c r="D27" i="83"/>
  <c r="D31" i="83"/>
  <c r="A98" i="81"/>
  <c r="A18" i="72"/>
  <c r="A42" i="72" s="1"/>
  <c r="A77" i="72" s="1"/>
  <c r="F18" i="83"/>
  <c r="H18" i="83" s="1"/>
  <c r="B106" i="83"/>
  <c r="C106" i="83" s="1"/>
  <c r="D106" i="83" s="1"/>
  <c r="E106" i="83" s="1"/>
  <c r="F106" i="83" s="1"/>
  <c r="G106" i="83" s="1"/>
  <c r="H106" i="83" s="1"/>
  <c r="E93" i="81"/>
  <c r="F93" i="81" s="1"/>
  <c r="G93" i="81" s="1"/>
  <c r="H93" i="81" s="1"/>
  <c r="D33" i="83"/>
  <c r="D34" i="83"/>
  <c r="D35" i="83"/>
  <c r="D36" i="83"/>
  <c r="B110" i="83"/>
  <c r="C110" i="83" s="1"/>
  <c r="D110" i="83" s="1"/>
  <c r="E110" i="83" s="1"/>
  <c r="F110" i="83" s="1"/>
  <c r="G110" i="83" s="1"/>
  <c r="H110" i="83" s="1"/>
  <c r="F22" i="83"/>
  <c r="H22" i="83" s="1"/>
  <c r="A107" i="81"/>
  <c r="A27" i="72"/>
  <c r="A51" i="72" s="1"/>
  <c r="A111" i="72" s="1"/>
  <c r="B21" i="72"/>
  <c r="B45" i="72" s="1"/>
  <c r="C76" i="81"/>
  <c r="H23" i="22"/>
  <c r="E26" i="21" s="1"/>
  <c r="E100" i="81"/>
  <c r="F100" i="81" s="1"/>
  <c r="G100" i="81" s="1"/>
  <c r="H100" i="81" s="1"/>
  <c r="H138" i="72"/>
  <c r="G177" i="72"/>
  <c r="G182" i="72" s="1"/>
  <c r="E23" i="21" s="1"/>
  <c r="B20" i="72"/>
  <c r="B44" i="72" s="1"/>
  <c r="C75" i="81"/>
  <c r="C61" i="22"/>
  <c r="F8" i="62"/>
  <c r="C18" i="68"/>
  <c r="H199" i="55"/>
  <c r="B108" i="83"/>
  <c r="C108" i="83" s="1"/>
  <c r="D108" i="83" s="1"/>
  <c r="E108" i="83" s="1"/>
  <c r="F108" i="83" s="1"/>
  <c r="G108" i="83" s="1"/>
  <c r="H108" i="83" s="1"/>
  <c r="F20" i="83"/>
  <c r="H20" i="83" s="1"/>
  <c r="B109" i="83"/>
  <c r="C109" i="83" s="1"/>
  <c r="D109" i="83" s="1"/>
  <c r="E109" i="83" s="1"/>
  <c r="F109" i="83" s="1"/>
  <c r="G109" i="83" s="1"/>
  <c r="H109" i="83" s="1"/>
  <c r="F21" i="83"/>
  <c r="H21" i="83" s="1"/>
  <c r="H221" i="55"/>
  <c r="B34" i="21"/>
  <c r="C87" i="22"/>
  <c r="H32" i="61"/>
  <c r="E10" i="21"/>
  <c r="B74" i="81"/>
  <c r="B49" i="81"/>
  <c r="F38" i="83"/>
  <c r="H38" i="83" s="1"/>
  <c r="B124" i="83"/>
  <c r="C124" i="83" s="1"/>
  <c r="D124" i="83" s="1"/>
  <c r="E124" i="83" s="1"/>
  <c r="F124" i="83" s="1"/>
  <c r="G124" i="83" s="1"/>
  <c r="H124" i="83" s="1"/>
  <c r="C49" i="22"/>
  <c r="F7" i="62"/>
  <c r="C17" i="68"/>
  <c r="F14" i="83"/>
  <c r="H14" i="83" s="1"/>
  <c r="J14" i="83"/>
  <c r="D74" i="83" s="1"/>
  <c r="B102" i="83"/>
  <c r="C102" i="83" s="1"/>
  <c r="D102" i="83" s="1"/>
  <c r="E102" i="83" s="1"/>
  <c r="F102" i="83" s="1"/>
  <c r="G102" i="83" s="1"/>
  <c r="H102" i="83" s="1"/>
  <c r="N14" i="83"/>
  <c r="H74" i="83" s="1"/>
  <c r="L14" i="83"/>
  <c r="F74" i="83" s="1"/>
  <c r="M14" i="83"/>
  <c r="G74" i="83" s="1"/>
  <c r="K14" i="83"/>
  <c r="E74" i="83" s="1"/>
  <c r="B104" i="83"/>
  <c r="C104" i="83" s="1"/>
  <c r="D104" i="83" s="1"/>
  <c r="E104" i="83" s="1"/>
  <c r="F104" i="83" s="1"/>
  <c r="G104" i="83" s="1"/>
  <c r="H104" i="83" s="1"/>
  <c r="F16" i="83"/>
  <c r="H16" i="83" s="1"/>
  <c r="G67" i="57"/>
  <c r="D6" i="62" s="1"/>
  <c r="F42" i="61"/>
  <c r="C17" i="21"/>
  <c r="E45" i="42"/>
  <c r="E47" i="42" s="1"/>
  <c r="I19" i="22"/>
  <c r="I21" i="22"/>
  <c r="I22" i="22"/>
  <c r="I16" i="22"/>
  <c r="I17" i="22"/>
  <c r="I14" i="22"/>
  <c r="I10" i="22"/>
  <c r="I15" i="22"/>
  <c r="I11" i="22"/>
  <c r="I20" i="22"/>
  <c r="J4" i="22"/>
  <c r="I13" i="22"/>
  <c r="I18" i="22"/>
  <c r="I9" i="22"/>
  <c r="I8" i="22"/>
  <c r="I12" i="22"/>
  <c r="H222" i="55"/>
  <c r="G56" i="22"/>
  <c r="K55" i="22"/>
  <c r="G9" i="42"/>
  <c r="F10" i="42"/>
  <c r="H21" i="42" s="1"/>
  <c r="H23" i="42" s="1"/>
  <c r="E95" i="81"/>
  <c r="F95" i="81" s="1"/>
  <c r="G95" i="81" s="1"/>
  <c r="H95" i="81" s="1"/>
  <c r="F94" i="29"/>
  <c r="D56" i="22" l="1"/>
  <c r="F56" i="22"/>
  <c r="I56" i="22"/>
  <c r="E56" i="22"/>
  <c r="H56" i="22"/>
  <c r="F5" i="62"/>
  <c r="B111" i="81"/>
  <c r="C111" i="81" s="1"/>
  <c r="D111" i="81" s="1"/>
  <c r="E111" i="81" s="1"/>
  <c r="F111" i="81" s="1"/>
  <c r="G111" i="81" s="1"/>
  <c r="H111" i="81" s="1"/>
  <c r="E58" i="29"/>
  <c r="C15" i="68"/>
  <c r="E108" i="29"/>
  <c r="B47" i="81"/>
  <c r="B107" i="81"/>
  <c r="C107" i="81" s="1"/>
  <c r="D107" i="81" s="1"/>
  <c r="E107" i="81" s="1"/>
  <c r="F107" i="81" s="1"/>
  <c r="G107" i="81" s="1"/>
  <c r="H107" i="81" s="1"/>
  <c r="F25" i="81"/>
  <c r="H25" i="81" s="1"/>
  <c r="B52" i="81" s="1"/>
  <c r="B20" i="55" s="1"/>
  <c r="B77" i="55" s="1"/>
  <c r="B129" i="55" s="1"/>
  <c r="D187" i="55" s="1"/>
  <c r="B44" i="81"/>
  <c r="B31" i="72"/>
  <c r="B55" i="72" s="1"/>
  <c r="B61" i="81"/>
  <c r="B29" i="55" s="1"/>
  <c r="B86" i="55" s="1"/>
  <c r="B138" i="55" s="1"/>
  <c r="D196" i="55" s="1"/>
  <c r="B112" i="81"/>
  <c r="C112" i="81" s="1"/>
  <c r="D112" i="81" s="1"/>
  <c r="E112" i="81" s="1"/>
  <c r="F112" i="81" s="1"/>
  <c r="G112" i="81" s="1"/>
  <c r="H112" i="81" s="1"/>
  <c r="D252" i="55"/>
  <c r="B108" i="81"/>
  <c r="C108" i="81" s="1"/>
  <c r="D108" i="81" s="1"/>
  <c r="E108" i="81" s="1"/>
  <c r="F108" i="81" s="1"/>
  <c r="G108" i="81" s="1"/>
  <c r="H108" i="81" s="1"/>
  <c r="B110" i="81"/>
  <c r="C110" i="81" s="1"/>
  <c r="D110" i="81" s="1"/>
  <c r="E110" i="81" s="1"/>
  <c r="F110" i="81" s="1"/>
  <c r="G110" i="81" s="1"/>
  <c r="H110" i="81" s="1"/>
  <c r="B48" i="81"/>
  <c r="C48" i="81" s="1"/>
  <c r="C16" i="55" s="1"/>
  <c r="C73" i="55" s="1"/>
  <c r="B87" i="81"/>
  <c r="C87" i="81" s="1"/>
  <c r="D87" i="81" s="1"/>
  <c r="E87" i="81" s="1"/>
  <c r="F87" i="81" s="1"/>
  <c r="G87" i="81" s="1"/>
  <c r="H87" i="81" s="1"/>
  <c r="C62" i="81"/>
  <c r="C30" i="55" s="1"/>
  <c r="C87" i="55" s="1"/>
  <c r="E252" i="55" s="1"/>
  <c r="B18" i="72"/>
  <c r="B42" i="72" s="1"/>
  <c r="B79" i="72" s="1"/>
  <c r="I38" i="22"/>
  <c r="B82" i="81"/>
  <c r="B27" i="72" s="1"/>
  <c r="B51" i="72" s="1"/>
  <c r="F32" i="81"/>
  <c r="H32" i="81" s="1"/>
  <c r="B84" i="81" s="1"/>
  <c r="F34" i="81"/>
  <c r="H34" i="81" s="1"/>
  <c r="K37" i="22"/>
  <c r="K38" i="22" s="1"/>
  <c r="K39" i="22" s="1"/>
  <c r="C45" i="81"/>
  <c r="C13" i="55" s="1"/>
  <c r="C70" i="55" s="1"/>
  <c r="F29" i="81"/>
  <c r="H29" i="81" s="1"/>
  <c r="B81" i="81" s="1"/>
  <c r="B26" i="72" s="1"/>
  <c r="B50" i="72" s="1"/>
  <c r="B70" i="81"/>
  <c r="B15" i="72" s="1"/>
  <c r="B39" i="72" s="1"/>
  <c r="C46" i="81"/>
  <c r="D46" i="81" s="1"/>
  <c r="B58" i="81"/>
  <c r="C58" i="81" s="1"/>
  <c r="B56" i="81"/>
  <c r="B24" i="55" s="1"/>
  <c r="B81" i="55" s="1"/>
  <c r="B71" i="81"/>
  <c r="B16" i="72" s="1"/>
  <c r="B40" i="72" s="1"/>
  <c r="B70" i="72" s="1"/>
  <c r="D147" i="72" s="1"/>
  <c r="C105" i="81"/>
  <c r="D105" i="81" s="1"/>
  <c r="E105" i="81" s="1"/>
  <c r="F105" i="81" s="1"/>
  <c r="G105" i="81" s="1"/>
  <c r="H105" i="81" s="1"/>
  <c r="F28" i="81"/>
  <c r="H28" i="81" s="1"/>
  <c r="C103" i="81"/>
  <c r="D103" i="81" s="1"/>
  <c r="E103" i="81" s="1"/>
  <c r="F103" i="81" s="1"/>
  <c r="G103" i="81" s="1"/>
  <c r="H103" i="81" s="1"/>
  <c r="F26" i="81"/>
  <c r="H26" i="81" s="1"/>
  <c r="F27" i="81"/>
  <c r="H27" i="81" s="1"/>
  <c r="C104" i="81"/>
  <c r="D104" i="81" s="1"/>
  <c r="E104" i="81" s="1"/>
  <c r="F104" i="81" s="1"/>
  <c r="G104" i="81" s="1"/>
  <c r="H104" i="81" s="1"/>
  <c r="B31" i="55"/>
  <c r="B88" i="55" s="1"/>
  <c r="C63" i="81"/>
  <c r="H38" i="22"/>
  <c r="G38" i="22"/>
  <c r="C38" i="22"/>
  <c r="C39" i="22" s="1"/>
  <c r="D39" i="22" s="1"/>
  <c r="F38" i="22"/>
  <c r="E38" i="22"/>
  <c r="C58" i="22"/>
  <c r="D55" i="22" s="1"/>
  <c r="D58" i="22" s="1"/>
  <c r="E55" i="22" s="1"/>
  <c r="D75" i="81"/>
  <c r="C20" i="72"/>
  <c r="C44" i="72" s="1"/>
  <c r="D50" i="81"/>
  <c r="C18" i="55"/>
  <c r="C75" i="55" s="1"/>
  <c r="D240" i="55"/>
  <c r="B127" i="55"/>
  <c r="D185" i="55" s="1"/>
  <c r="B69" i="83"/>
  <c r="B97" i="83"/>
  <c r="C97" i="83" s="1"/>
  <c r="D97" i="83" s="1"/>
  <c r="E97" i="83" s="1"/>
  <c r="F97" i="83" s="1"/>
  <c r="G97" i="83" s="1"/>
  <c r="H97" i="83" s="1"/>
  <c r="B36" i="55"/>
  <c r="B93" i="55" s="1"/>
  <c r="C47" i="83"/>
  <c r="I23" i="22"/>
  <c r="F26" i="21" s="1"/>
  <c r="C50" i="22"/>
  <c r="K49" i="22"/>
  <c r="E50" i="22"/>
  <c r="F50" i="22"/>
  <c r="H50" i="22"/>
  <c r="D50" i="22"/>
  <c r="G50" i="22"/>
  <c r="I50" i="22"/>
  <c r="C52" i="22"/>
  <c r="B122" i="83"/>
  <c r="C122" i="83" s="1"/>
  <c r="D122" i="83" s="1"/>
  <c r="E122" i="83" s="1"/>
  <c r="F122" i="83" s="1"/>
  <c r="G122" i="83" s="1"/>
  <c r="H122" i="83" s="1"/>
  <c r="F36" i="83"/>
  <c r="H36" i="83" s="1"/>
  <c r="B111" i="83"/>
  <c r="C111" i="83" s="1"/>
  <c r="D111" i="83" s="1"/>
  <c r="E111" i="83" s="1"/>
  <c r="F111" i="83" s="1"/>
  <c r="G111" i="83" s="1"/>
  <c r="H111" i="83" s="1"/>
  <c r="F24" i="83"/>
  <c r="H24" i="83" s="1"/>
  <c r="D43" i="81"/>
  <c r="C11" i="55"/>
  <c r="I254" i="55"/>
  <c r="J172" i="55"/>
  <c r="I279" i="55"/>
  <c r="I280" i="55"/>
  <c r="I255" i="55"/>
  <c r="I221" i="55"/>
  <c r="I222" i="55"/>
  <c r="I223" i="55"/>
  <c r="I199" i="55"/>
  <c r="B40" i="55"/>
  <c r="B97" i="55" s="1"/>
  <c r="C51" i="83"/>
  <c r="G42" i="61"/>
  <c r="D17" i="21"/>
  <c r="F45" i="42"/>
  <c r="F47" i="42" s="1"/>
  <c r="F35" i="83"/>
  <c r="H35" i="83" s="1"/>
  <c r="B121" i="83"/>
  <c r="C121" i="83" s="1"/>
  <c r="D121" i="83" s="1"/>
  <c r="E121" i="83" s="1"/>
  <c r="F121" i="83" s="1"/>
  <c r="G121" i="83" s="1"/>
  <c r="H121" i="83" s="1"/>
  <c r="B59" i="55"/>
  <c r="B116" i="55" s="1"/>
  <c r="C70" i="83"/>
  <c r="F6" i="62"/>
  <c r="C43" i="22"/>
  <c r="C65" i="22" s="1"/>
  <c r="B13" i="69" s="1"/>
  <c r="C16" i="68"/>
  <c r="E20" i="62"/>
  <c r="B96" i="83"/>
  <c r="C96" i="83" s="1"/>
  <c r="D96" i="83" s="1"/>
  <c r="E96" i="83" s="1"/>
  <c r="F96" i="83" s="1"/>
  <c r="G96" i="83" s="1"/>
  <c r="H96" i="83" s="1"/>
  <c r="B68" i="83"/>
  <c r="B53" i="83"/>
  <c r="B81" i="83"/>
  <c r="C81" i="83" s="1"/>
  <c r="D81" i="83" s="1"/>
  <c r="E81" i="83" s="1"/>
  <c r="F81" i="83" s="1"/>
  <c r="G81" i="83" s="1"/>
  <c r="H81" i="83" s="1"/>
  <c r="I138" i="72"/>
  <c r="H177" i="72"/>
  <c r="H182" i="72" s="1"/>
  <c r="F23" i="21" s="1"/>
  <c r="B120" i="83"/>
  <c r="C120" i="83" s="1"/>
  <c r="D120" i="83" s="1"/>
  <c r="E120" i="83" s="1"/>
  <c r="F120" i="83" s="1"/>
  <c r="G120" i="83" s="1"/>
  <c r="H120" i="83" s="1"/>
  <c r="F34" i="83"/>
  <c r="H34" i="83" s="1"/>
  <c r="F30" i="83"/>
  <c r="H30" i="83" s="1"/>
  <c r="B117" i="83"/>
  <c r="C117" i="83" s="1"/>
  <c r="D117" i="83" s="1"/>
  <c r="E117" i="83" s="1"/>
  <c r="F117" i="83" s="1"/>
  <c r="G117" i="83" s="1"/>
  <c r="H117" i="83" s="1"/>
  <c r="B56" i="55"/>
  <c r="B113" i="55" s="1"/>
  <c r="C67" i="83"/>
  <c r="C18" i="72"/>
  <c r="C42" i="72" s="1"/>
  <c r="D73" i="81"/>
  <c r="G34" i="42"/>
  <c r="B78" i="83"/>
  <c r="C78" i="83" s="1"/>
  <c r="D78" i="83" s="1"/>
  <c r="E78" i="83" s="1"/>
  <c r="F78" i="83" s="1"/>
  <c r="G78" i="83" s="1"/>
  <c r="H78" i="83" s="1"/>
  <c r="B50" i="83"/>
  <c r="B113" i="83"/>
  <c r="C113" i="83" s="1"/>
  <c r="D113" i="83" s="1"/>
  <c r="E113" i="83" s="1"/>
  <c r="F113" i="83" s="1"/>
  <c r="G113" i="83" s="1"/>
  <c r="H113" i="83" s="1"/>
  <c r="F26" i="83"/>
  <c r="H26" i="83" s="1"/>
  <c r="F10" i="21"/>
  <c r="I32" i="61"/>
  <c r="F148" i="29"/>
  <c r="F34" i="29"/>
  <c r="F136" i="29"/>
  <c r="F160" i="29"/>
  <c r="F124" i="29"/>
  <c r="B82" i="83"/>
  <c r="C82" i="83" s="1"/>
  <c r="D82" i="83" s="1"/>
  <c r="E82" i="83" s="1"/>
  <c r="F82" i="83" s="1"/>
  <c r="G82" i="83" s="1"/>
  <c r="H82" i="83" s="1"/>
  <c r="B54" i="83"/>
  <c r="B119" i="83"/>
  <c r="C119" i="83" s="1"/>
  <c r="D119" i="83" s="1"/>
  <c r="E119" i="83" s="1"/>
  <c r="F119" i="83" s="1"/>
  <c r="G119" i="83" s="1"/>
  <c r="H119" i="83" s="1"/>
  <c r="F33" i="83"/>
  <c r="H33" i="83" s="1"/>
  <c r="B112" i="83"/>
  <c r="C112" i="83" s="1"/>
  <c r="D112" i="83" s="1"/>
  <c r="E112" i="83" s="1"/>
  <c r="F112" i="83" s="1"/>
  <c r="G112" i="83" s="1"/>
  <c r="H112" i="83" s="1"/>
  <c r="F25" i="83"/>
  <c r="H25" i="83" s="1"/>
  <c r="D68" i="81"/>
  <c r="C13" i="72"/>
  <c r="B118" i="83"/>
  <c r="C118" i="83" s="1"/>
  <c r="D118" i="83" s="1"/>
  <c r="E118" i="83" s="1"/>
  <c r="F118" i="83" s="1"/>
  <c r="G118" i="83" s="1"/>
  <c r="H118" i="83" s="1"/>
  <c r="F31" i="83"/>
  <c r="H31" i="83" s="1"/>
  <c r="E136" i="29"/>
  <c r="E124" i="29"/>
  <c r="E160" i="29"/>
  <c r="E34" i="29"/>
  <c r="E148" i="29"/>
  <c r="B68" i="55"/>
  <c r="B122" i="55"/>
  <c r="D180" i="55" s="1"/>
  <c r="D235" i="55"/>
  <c r="B48" i="83"/>
  <c r="B76" i="83"/>
  <c r="C76" i="83" s="1"/>
  <c r="D76" i="83" s="1"/>
  <c r="E76" i="83" s="1"/>
  <c r="F76" i="83" s="1"/>
  <c r="G76" i="83" s="1"/>
  <c r="H76" i="83" s="1"/>
  <c r="C49" i="81"/>
  <c r="B17" i="55"/>
  <c r="B74" i="55" s="1"/>
  <c r="B19" i="72"/>
  <c r="B43" i="72" s="1"/>
  <c r="C74" i="81"/>
  <c r="B80" i="83"/>
  <c r="C80" i="83" s="1"/>
  <c r="D80" i="83" s="1"/>
  <c r="E80" i="83" s="1"/>
  <c r="F80" i="83" s="1"/>
  <c r="G80" i="83" s="1"/>
  <c r="H80" i="83" s="1"/>
  <c r="B52" i="83"/>
  <c r="D76" i="81"/>
  <c r="C21" i="72"/>
  <c r="C45" i="72" s="1"/>
  <c r="C57" i="81"/>
  <c r="B25" i="55"/>
  <c r="B82" i="55" s="1"/>
  <c r="F29" i="83"/>
  <c r="H29" i="83" s="1"/>
  <c r="B116" i="83"/>
  <c r="C116" i="83" s="1"/>
  <c r="D116" i="83" s="1"/>
  <c r="E116" i="83" s="1"/>
  <c r="F116" i="83" s="1"/>
  <c r="G116" i="83" s="1"/>
  <c r="H116" i="83" s="1"/>
  <c r="B37" i="72"/>
  <c r="D51" i="81"/>
  <c r="C19" i="55"/>
  <c r="C76" i="55" s="1"/>
  <c r="H29" i="42"/>
  <c r="I17" i="42"/>
  <c r="H37" i="42"/>
  <c r="H43" i="42" s="1"/>
  <c r="F24" i="21" s="1"/>
  <c r="H27" i="42"/>
  <c r="H34" i="42" s="1"/>
  <c r="H28" i="42"/>
  <c r="C31" i="72"/>
  <c r="C55" i="72" s="1"/>
  <c r="D86" i="81"/>
  <c r="C108" i="29"/>
  <c r="D12" i="29"/>
  <c r="C58" i="29"/>
  <c r="D94" i="29"/>
  <c r="B18" i="69"/>
  <c r="C18" i="69" s="1"/>
  <c r="D18" i="69" s="1"/>
  <c r="E18" i="69" s="1"/>
  <c r="F18" i="69" s="1"/>
  <c r="G18" i="69" s="1"/>
  <c r="H18" i="69" s="1"/>
  <c r="B114" i="83"/>
  <c r="C114" i="83" s="1"/>
  <c r="D114" i="83" s="1"/>
  <c r="E114" i="83" s="1"/>
  <c r="F114" i="83" s="1"/>
  <c r="G114" i="83" s="1"/>
  <c r="H114" i="83" s="1"/>
  <c r="F27" i="83"/>
  <c r="H27" i="83" s="1"/>
  <c r="B74" i="83"/>
  <c r="B46" i="83"/>
  <c r="G10" i="42"/>
  <c r="H9" i="42"/>
  <c r="H10" i="42" s="1"/>
  <c r="J20" i="22"/>
  <c r="J22" i="22"/>
  <c r="J17" i="22"/>
  <c r="J18" i="22"/>
  <c r="J19" i="22"/>
  <c r="J21" i="22"/>
  <c r="J15" i="22"/>
  <c r="J11" i="22"/>
  <c r="J16" i="22"/>
  <c r="J13" i="22"/>
  <c r="J8" i="22"/>
  <c r="K4" i="22"/>
  <c r="J12" i="22"/>
  <c r="J9" i="22"/>
  <c r="J14" i="22"/>
  <c r="J10" i="22"/>
  <c r="K56" i="22"/>
  <c r="K57" i="22" s="1"/>
  <c r="D57" i="22"/>
  <c r="B123" i="55"/>
  <c r="D181" i="55" s="1"/>
  <c r="D236" i="55"/>
  <c r="B28" i="72"/>
  <c r="B52" i="72" s="1"/>
  <c r="C83" i="81"/>
  <c r="C62" i="22"/>
  <c r="C63" i="22" s="1"/>
  <c r="D62" i="22"/>
  <c r="E62" i="22"/>
  <c r="K61" i="22"/>
  <c r="F62" i="22"/>
  <c r="I62" i="22"/>
  <c r="H62" i="22"/>
  <c r="G62" i="22"/>
  <c r="B115" i="83"/>
  <c r="C115" i="83" s="1"/>
  <c r="D115" i="83" s="1"/>
  <c r="E115" i="83" s="1"/>
  <c r="F115" i="83" s="1"/>
  <c r="G115" i="83" s="1"/>
  <c r="H115" i="83" s="1"/>
  <c r="F28" i="83"/>
  <c r="H28" i="83" s="1"/>
  <c r="B49" i="83"/>
  <c r="B77" i="83"/>
  <c r="C77" i="83" s="1"/>
  <c r="D77" i="83" s="1"/>
  <c r="E77" i="83" s="1"/>
  <c r="F77" i="83" s="1"/>
  <c r="G77" i="83" s="1"/>
  <c r="H77" i="83" s="1"/>
  <c r="D241" i="55"/>
  <c r="B128" i="55"/>
  <c r="D186" i="55" s="1"/>
  <c r="P9" i="61"/>
  <c r="O13" i="61"/>
  <c r="E57" i="22" l="1"/>
  <c r="F57" i="22" s="1"/>
  <c r="G57" i="22" s="1"/>
  <c r="H57" i="22" s="1"/>
  <c r="I57" i="22" s="1"/>
  <c r="F12" i="62"/>
  <c r="E19" i="62" s="1"/>
  <c r="C9" i="68" s="1"/>
  <c r="E58" i="22"/>
  <c r="F55" i="22" s="1"/>
  <c r="F58" i="22" s="1"/>
  <c r="G55" i="22" s="1"/>
  <c r="G58" i="22" s="1"/>
  <c r="H55" i="22" s="1"/>
  <c r="H58" i="22" s="1"/>
  <c r="I55" i="22" s="1"/>
  <c r="I58" i="22" s="1"/>
  <c r="B12" i="55"/>
  <c r="B69" i="55" s="1"/>
  <c r="B121" i="55" s="1"/>
  <c r="B53" i="81"/>
  <c r="B60" i="81"/>
  <c r="D242" i="55"/>
  <c r="B77" i="81"/>
  <c r="B22" i="72" s="1"/>
  <c r="B46" i="72" s="1"/>
  <c r="D62" i="81"/>
  <c r="E62" i="81" s="1"/>
  <c r="F62" i="81" s="1"/>
  <c r="D251" i="55"/>
  <c r="C61" i="81"/>
  <c r="D61" i="81" s="1"/>
  <c r="D29" i="55" s="1"/>
  <c r="D86" i="55" s="1"/>
  <c r="C52" i="81"/>
  <c r="D52" i="81" s="1"/>
  <c r="D20" i="55" s="1"/>
  <c r="D77" i="55" s="1"/>
  <c r="C82" i="81"/>
  <c r="C27" i="72" s="1"/>
  <c r="C51" i="72" s="1"/>
  <c r="B78" i="72"/>
  <c r="D146" i="72" s="1"/>
  <c r="B54" i="81"/>
  <c r="B79" i="81"/>
  <c r="C139" i="55"/>
  <c r="E197" i="55" s="1"/>
  <c r="D159" i="72"/>
  <c r="D48" i="81"/>
  <c r="D16" i="55" s="1"/>
  <c r="D73" i="55" s="1"/>
  <c r="B16" i="55"/>
  <c r="B73" i="55" s="1"/>
  <c r="B125" i="55" s="1"/>
  <c r="D183" i="55" s="1"/>
  <c r="C10" i="68"/>
  <c r="D4" i="23"/>
  <c r="B59" i="81"/>
  <c r="C59" i="81" s="1"/>
  <c r="C81" i="81"/>
  <c r="D81" i="81" s="1"/>
  <c r="B26" i="55"/>
  <c r="B83" i="55" s="1"/>
  <c r="B135" i="55" s="1"/>
  <c r="D193" i="55" s="1"/>
  <c r="D45" i="81"/>
  <c r="D13" i="55" s="1"/>
  <c r="D70" i="55" s="1"/>
  <c r="E39" i="22"/>
  <c r="F39" i="22" s="1"/>
  <c r="G39" i="22" s="1"/>
  <c r="H39" i="22" s="1"/>
  <c r="I39" i="22" s="1"/>
  <c r="C71" i="81"/>
  <c r="D71" i="81" s="1"/>
  <c r="E71" i="81" s="1"/>
  <c r="C70" i="81"/>
  <c r="D70" i="81" s="1"/>
  <c r="E70" i="81" s="1"/>
  <c r="C14" i="55"/>
  <c r="C71" i="55" s="1"/>
  <c r="C123" i="55" s="1"/>
  <c r="E181" i="55" s="1"/>
  <c r="C56" i="81"/>
  <c r="C24" i="55" s="1"/>
  <c r="C81" i="55" s="1"/>
  <c r="C77" i="81"/>
  <c r="B15" i="55"/>
  <c r="B72" i="55" s="1"/>
  <c r="C47" i="81"/>
  <c r="C72" i="81"/>
  <c r="B17" i="72"/>
  <c r="B41" i="72" s="1"/>
  <c r="B71" i="72"/>
  <c r="D160" i="72"/>
  <c r="B80" i="81"/>
  <c r="B55" i="81"/>
  <c r="B23" i="55" s="1"/>
  <c r="B14" i="72"/>
  <c r="B38" i="72" s="1"/>
  <c r="C69" i="81"/>
  <c r="C44" i="81"/>
  <c r="B30" i="72"/>
  <c r="B54" i="72" s="1"/>
  <c r="C85" i="81"/>
  <c r="C31" i="55"/>
  <c r="C88" i="55" s="1"/>
  <c r="D63" i="81"/>
  <c r="B140" i="55"/>
  <c r="D198" i="55" s="1"/>
  <c r="D253" i="55"/>
  <c r="C40" i="22"/>
  <c r="D37" i="22" s="1"/>
  <c r="D40" i="22" s="1"/>
  <c r="E37" i="22" s="1"/>
  <c r="E40" i="22" s="1"/>
  <c r="F37" i="22" s="1"/>
  <c r="F40" i="22" s="1"/>
  <c r="G37" i="22" s="1"/>
  <c r="G40" i="22" s="1"/>
  <c r="H37" i="22" s="1"/>
  <c r="H40" i="22" s="1"/>
  <c r="I37" i="22" s="1"/>
  <c r="I40" i="22" s="1"/>
  <c r="K58" i="22"/>
  <c r="L55" i="22" s="1"/>
  <c r="L56" i="22" s="1"/>
  <c r="L58" i="22" s="1"/>
  <c r="M55" i="22" s="1"/>
  <c r="C64" i="22"/>
  <c r="D61" i="22" s="1"/>
  <c r="D64" i="22" s="1"/>
  <c r="E61" i="22" s="1"/>
  <c r="E64" i="22" s="1"/>
  <c r="F61" i="22" s="1"/>
  <c r="F64" i="22" s="1"/>
  <c r="G61" i="22" s="1"/>
  <c r="G64" i="22" s="1"/>
  <c r="H61" i="22" s="1"/>
  <c r="H64" i="22" s="1"/>
  <c r="I61" i="22" s="1"/>
  <c r="I64" i="22" s="1"/>
  <c r="B57" i="83"/>
  <c r="B85" i="83"/>
  <c r="C85" i="83" s="1"/>
  <c r="D85" i="83" s="1"/>
  <c r="E85" i="83" s="1"/>
  <c r="F85" i="83" s="1"/>
  <c r="G85" i="83" s="1"/>
  <c r="H85" i="83" s="1"/>
  <c r="D278" i="55"/>
  <c r="B168" i="55"/>
  <c r="D227" i="55" s="1"/>
  <c r="C19" i="72"/>
  <c r="C43" i="72" s="1"/>
  <c r="D74" i="81"/>
  <c r="B29" i="72"/>
  <c r="B53" i="72" s="1"/>
  <c r="C84" i="81"/>
  <c r="D67" i="83"/>
  <c r="C56" i="55"/>
  <c r="C113" i="55" s="1"/>
  <c r="D51" i="83"/>
  <c r="C40" i="55"/>
  <c r="C97" i="55" s="1"/>
  <c r="E43" i="81"/>
  <c r="D11" i="55"/>
  <c r="Q9" i="61"/>
  <c r="P13" i="61"/>
  <c r="I21" i="42"/>
  <c r="I23" i="42" s="1"/>
  <c r="E76" i="81"/>
  <c r="D21" i="72"/>
  <c r="D45" i="72" s="1"/>
  <c r="D233" i="55"/>
  <c r="B120" i="55"/>
  <c r="B84" i="83"/>
  <c r="C84" i="83" s="1"/>
  <c r="D84" i="83" s="1"/>
  <c r="E84" i="83" s="1"/>
  <c r="F84" i="83" s="1"/>
  <c r="G84" i="83" s="1"/>
  <c r="H84" i="83" s="1"/>
  <c r="B56" i="83"/>
  <c r="B39" i="55"/>
  <c r="B96" i="55" s="1"/>
  <c r="C50" i="83"/>
  <c r="D275" i="55"/>
  <c r="B165" i="55"/>
  <c r="D224" i="55" s="1"/>
  <c r="B93" i="83"/>
  <c r="C93" i="83" s="1"/>
  <c r="D93" i="83" s="1"/>
  <c r="E93" i="83" s="1"/>
  <c r="F93" i="83" s="1"/>
  <c r="G93" i="83" s="1"/>
  <c r="B65" i="83"/>
  <c r="C65" i="83" s="1"/>
  <c r="D65" i="83" s="1"/>
  <c r="E65" i="83" s="1"/>
  <c r="F65" i="83" s="1"/>
  <c r="G65" i="83" s="1"/>
  <c r="H65" i="83" s="1"/>
  <c r="D262" i="55"/>
  <c r="B149" i="55"/>
  <c r="D208" i="55" s="1"/>
  <c r="B55" i="83"/>
  <c r="B83" i="83"/>
  <c r="C83" i="83" s="1"/>
  <c r="D83" i="83" s="1"/>
  <c r="E83" i="83" s="1"/>
  <c r="F83" i="83" s="1"/>
  <c r="G83" i="83" s="1"/>
  <c r="H83" i="83" s="1"/>
  <c r="K50" i="22"/>
  <c r="K52" i="22" s="1"/>
  <c r="D47" i="83"/>
  <c r="C36" i="55"/>
  <c r="C93" i="55" s="1"/>
  <c r="E240" i="55"/>
  <c r="C127" i="55"/>
  <c r="E185" i="55" s="1"/>
  <c r="B38" i="55"/>
  <c r="B95" i="55" s="1"/>
  <c r="C49" i="83"/>
  <c r="B58" i="83"/>
  <c r="B86" i="83"/>
  <c r="C86" i="83" s="1"/>
  <c r="D86" i="83" s="1"/>
  <c r="E86" i="83" s="1"/>
  <c r="F86" i="83" s="1"/>
  <c r="G86" i="83" s="1"/>
  <c r="H86" i="83" s="1"/>
  <c r="B126" i="55"/>
  <c r="D184" i="55" s="1"/>
  <c r="D239" i="55"/>
  <c r="C44" i="22"/>
  <c r="C45" i="22" s="1"/>
  <c r="G44" i="22"/>
  <c r="G66" i="22" s="1"/>
  <c r="H44" i="22"/>
  <c r="H66" i="22" s="1"/>
  <c r="I44" i="22"/>
  <c r="I66" i="22" s="1"/>
  <c r="D44" i="22"/>
  <c r="D66" i="22" s="1"/>
  <c r="F44" i="22"/>
  <c r="F66" i="22" s="1"/>
  <c r="K43" i="22"/>
  <c r="E44" i="22"/>
  <c r="E66" i="22" s="1"/>
  <c r="D49" i="22"/>
  <c r="C51" i="22"/>
  <c r="K62" i="22"/>
  <c r="K63" i="22" s="1"/>
  <c r="D49" i="81"/>
  <c r="C17" i="55"/>
  <c r="C74" i="55" s="1"/>
  <c r="B91" i="83"/>
  <c r="C91" i="83" s="1"/>
  <c r="D91" i="83" s="1"/>
  <c r="E91" i="83" s="1"/>
  <c r="F91" i="83" s="1"/>
  <c r="G91" i="83" s="1"/>
  <c r="H91" i="83" s="1"/>
  <c r="B63" i="83"/>
  <c r="B61" i="83"/>
  <c r="B89" i="83"/>
  <c r="C89" i="83" s="1"/>
  <c r="D89" i="83" s="1"/>
  <c r="E89" i="83" s="1"/>
  <c r="F89" i="83" s="1"/>
  <c r="G89" i="83" s="1"/>
  <c r="H89" i="83" s="1"/>
  <c r="B34" i="69"/>
  <c r="C34" i="69" s="1"/>
  <c r="D34" i="69" s="1"/>
  <c r="E34" i="69" s="1"/>
  <c r="F34" i="69" s="1"/>
  <c r="G34" i="69" s="1"/>
  <c r="H34" i="69" s="1"/>
  <c r="J279" i="55"/>
  <c r="J255" i="55"/>
  <c r="J254" i="55"/>
  <c r="J280" i="55"/>
  <c r="J222" i="55"/>
  <c r="J223" i="55"/>
  <c r="J199" i="55"/>
  <c r="J221" i="55"/>
  <c r="B66" i="83"/>
  <c r="C66" i="83" s="1"/>
  <c r="D66" i="83" s="1"/>
  <c r="E66" i="83" s="1"/>
  <c r="F66" i="83" s="1"/>
  <c r="G66" i="83" s="1"/>
  <c r="H66" i="83" s="1"/>
  <c r="B94" i="83"/>
  <c r="C94" i="83" s="1"/>
  <c r="D94" i="83" s="1"/>
  <c r="E94" i="83" s="1"/>
  <c r="F94" i="83" s="1"/>
  <c r="G94" i="83" s="1"/>
  <c r="C25" i="55"/>
  <c r="C82" i="55" s="1"/>
  <c r="D57" i="81"/>
  <c r="C78" i="72"/>
  <c r="E159" i="72"/>
  <c r="C79" i="72"/>
  <c r="B59" i="83"/>
  <c r="B87" i="83"/>
  <c r="C87" i="83" s="1"/>
  <c r="D87" i="83" s="1"/>
  <c r="E87" i="83" s="1"/>
  <c r="F87" i="83" s="1"/>
  <c r="G87" i="83" s="1"/>
  <c r="H87" i="83" s="1"/>
  <c r="B41" i="55"/>
  <c r="B98" i="55" s="1"/>
  <c r="C52" i="83"/>
  <c r="E50" i="81"/>
  <c r="D18" i="55"/>
  <c r="D75" i="55" s="1"/>
  <c r="C37" i="72"/>
  <c r="C125" i="55"/>
  <c r="E238" i="55"/>
  <c r="E235" i="55"/>
  <c r="C122" i="55"/>
  <c r="E180" i="55" s="1"/>
  <c r="B64" i="83"/>
  <c r="C64" i="83" s="1"/>
  <c r="D64" i="83" s="1"/>
  <c r="E64" i="83" s="1"/>
  <c r="F64" i="83" s="1"/>
  <c r="G64" i="83" s="1"/>
  <c r="H64" i="83" s="1"/>
  <c r="B92" i="83"/>
  <c r="C92" i="83" s="1"/>
  <c r="D92" i="83" s="1"/>
  <c r="E92" i="83" s="1"/>
  <c r="F92" i="83" s="1"/>
  <c r="G92" i="83" s="1"/>
  <c r="B42" i="55"/>
  <c r="B99" i="55" s="1"/>
  <c r="C53" i="83"/>
  <c r="B58" i="55"/>
  <c r="B115" i="55" s="1"/>
  <c r="C69" i="83"/>
  <c r="D14" i="55"/>
  <c r="D71" i="55" s="1"/>
  <c r="E46" i="81"/>
  <c r="E86" i="81"/>
  <c r="D31" i="72"/>
  <c r="D55" i="72" s="1"/>
  <c r="E51" i="81"/>
  <c r="D19" i="55"/>
  <c r="D76" i="55" s="1"/>
  <c r="J138" i="72"/>
  <c r="I177" i="72"/>
  <c r="I182" i="72" s="1"/>
  <c r="G23" i="21" s="1"/>
  <c r="C28" i="72"/>
  <c r="C52" i="72" s="1"/>
  <c r="D83" i="81"/>
  <c r="B35" i="55"/>
  <c r="C46" i="83"/>
  <c r="I27" i="42"/>
  <c r="I28" i="42"/>
  <c r="I29" i="42"/>
  <c r="I37" i="42"/>
  <c r="I43" i="42" s="1"/>
  <c r="G24" i="21" s="1"/>
  <c r="J17" i="42"/>
  <c r="D63" i="22"/>
  <c r="E63" i="22" s="1"/>
  <c r="F63" i="22" s="1"/>
  <c r="G63" i="22" s="1"/>
  <c r="H63" i="22" s="1"/>
  <c r="I63" i="22" s="1"/>
  <c r="D58" i="81"/>
  <c r="C26" i="55"/>
  <c r="C83" i="55" s="1"/>
  <c r="J23" i="22"/>
  <c r="G26" i="21" s="1"/>
  <c r="B88" i="83"/>
  <c r="C88" i="83" s="1"/>
  <c r="D88" i="83" s="1"/>
  <c r="E88" i="83" s="1"/>
  <c r="F88" i="83" s="1"/>
  <c r="G88" i="83" s="1"/>
  <c r="H88" i="83" s="1"/>
  <c r="B60" i="83"/>
  <c r="B37" i="55"/>
  <c r="B94" i="55" s="1"/>
  <c r="C48" i="83"/>
  <c r="B90" i="83"/>
  <c r="C90" i="83" s="1"/>
  <c r="D90" i="83" s="1"/>
  <c r="E90" i="83" s="1"/>
  <c r="F90" i="83" s="1"/>
  <c r="G90" i="83" s="1"/>
  <c r="H90" i="83" s="1"/>
  <c r="B62" i="83"/>
  <c r="E68" i="81"/>
  <c r="D13" i="72"/>
  <c r="B43" i="55"/>
  <c r="B100" i="55" s="1"/>
  <c r="C54" i="83"/>
  <c r="E17" i="21"/>
  <c r="H42" i="61"/>
  <c r="G45" i="42"/>
  <c r="G47" i="42" s="1"/>
  <c r="B57" i="55"/>
  <c r="B114" i="55" s="1"/>
  <c r="C68" i="83"/>
  <c r="C68" i="55"/>
  <c r="F17" i="21"/>
  <c r="I42" i="61"/>
  <c r="H45" i="42"/>
  <c r="H47" i="42" s="1"/>
  <c r="D258" i="55"/>
  <c r="B145" i="55"/>
  <c r="D204" i="55" s="1"/>
  <c r="K21" i="22"/>
  <c r="K16" i="22"/>
  <c r="K18" i="22"/>
  <c r="K19" i="22"/>
  <c r="K15" i="22"/>
  <c r="K11" i="22"/>
  <c r="K12" i="22"/>
  <c r="K9" i="22"/>
  <c r="K13" i="22"/>
  <c r="K22" i="22"/>
  <c r="K10" i="22"/>
  <c r="K20" i="22"/>
  <c r="K8" i="22"/>
  <c r="K17" i="22"/>
  <c r="K14" i="22"/>
  <c r="C128" i="55"/>
  <c r="E186" i="55" s="1"/>
  <c r="E241" i="55"/>
  <c r="B134" i="55"/>
  <c r="D192" i="55" s="1"/>
  <c r="D247" i="55"/>
  <c r="K40" i="22"/>
  <c r="L37" i="22" s="1"/>
  <c r="G160" i="29"/>
  <c r="G124" i="29"/>
  <c r="G136" i="29"/>
  <c r="G34" i="29"/>
  <c r="G148" i="29"/>
  <c r="E73" i="81"/>
  <c r="D18" i="72"/>
  <c r="D42" i="72" s="1"/>
  <c r="D70" i="83"/>
  <c r="C59" i="55"/>
  <c r="C116" i="55" s="1"/>
  <c r="D246" i="55"/>
  <c r="B133" i="55"/>
  <c r="D191" i="55" s="1"/>
  <c r="E75" i="81"/>
  <c r="D20" i="72"/>
  <c r="D44" i="72" s="1"/>
  <c r="B28" i="55" l="1"/>
  <c r="B85" i="55" s="1"/>
  <c r="I60" i="81"/>
  <c r="E30" i="55"/>
  <c r="E87" i="55" s="1"/>
  <c r="E139" i="55" s="1"/>
  <c r="C60" i="81"/>
  <c r="C28" i="55" s="1"/>
  <c r="C85" i="55" s="1"/>
  <c r="C29" i="55"/>
  <c r="C86" i="55" s="1"/>
  <c r="C138" i="55" s="1"/>
  <c r="E196" i="55" s="1"/>
  <c r="E61" i="81"/>
  <c r="E29" i="55" s="1"/>
  <c r="E86" i="55" s="1"/>
  <c r="E48" i="81"/>
  <c r="E16" i="55" s="1"/>
  <c r="E73" i="55" s="1"/>
  <c r="D30" i="55"/>
  <c r="D87" i="55" s="1"/>
  <c r="D139" i="55" s="1"/>
  <c r="F197" i="55" s="1"/>
  <c r="D82" i="81"/>
  <c r="D27" i="72" s="1"/>
  <c r="D51" i="72" s="1"/>
  <c r="E52" i="81"/>
  <c r="F52" i="81" s="1"/>
  <c r="E183" i="55"/>
  <c r="D238" i="55"/>
  <c r="C20" i="55"/>
  <c r="C77" i="55" s="1"/>
  <c r="D16" i="72"/>
  <c r="D40" i="72" s="1"/>
  <c r="F160" i="72" s="1"/>
  <c r="B27" i="55"/>
  <c r="B84" i="55" s="1"/>
  <c r="C16" i="72"/>
  <c r="C40" i="72" s="1"/>
  <c r="C70" i="72" s="1"/>
  <c r="E147" i="72" s="1"/>
  <c r="C26" i="72"/>
  <c r="C50" i="72" s="1"/>
  <c r="D248" i="55"/>
  <c r="C10" i="23"/>
  <c r="D8" i="23"/>
  <c r="E45" i="81"/>
  <c r="E13" i="55" s="1"/>
  <c r="E70" i="55" s="1"/>
  <c r="D15" i="72"/>
  <c r="D39" i="72" s="1"/>
  <c r="E236" i="55"/>
  <c r="C15" i="72"/>
  <c r="C39" i="72" s="1"/>
  <c r="D56" i="81"/>
  <c r="E56" i="81" s="1"/>
  <c r="C15" i="55"/>
  <c r="C72" i="55" s="1"/>
  <c r="D47" i="81"/>
  <c r="D237" i="55"/>
  <c r="B124" i="55"/>
  <c r="D182" i="55" s="1"/>
  <c r="C17" i="72"/>
  <c r="C41" i="72" s="1"/>
  <c r="D72" i="81"/>
  <c r="D77" i="81"/>
  <c r="C22" i="72"/>
  <c r="C46" i="72" s="1"/>
  <c r="C80" i="81"/>
  <c r="B25" i="72"/>
  <c r="B49" i="72" s="1"/>
  <c r="D157" i="72" s="1"/>
  <c r="C53" i="81"/>
  <c r="B21" i="55"/>
  <c r="B78" i="55" s="1"/>
  <c r="B23" i="72"/>
  <c r="B47" i="72" s="1"/>
  <c r="C78" i="81"/>
  <c r="B80" i="55"/>
  <c r="C55" i="81"/>
  <c r="B22" i="55"/>
  <c r="C54" i="81"/>
  <c r="B24" i="72"/>
  <c r="B48" i="72" s="1"/>
  <c r="D85" i="81"/>
  <c r="C30" i="72"/>
  <c r="C54" i="72" s="1"/>
  <c r="B137" i="55"/>
  <c r="D195" i="55" s="1"/>
  <c r="D250" i="55"/>
  <c r="C12" i="55"/>
  <c r="C69" i="55" s="1"/>
  <c r="D44" i="81"/>
  <c r="D234" i="55"/>
  <c r="D179" i="55"/>
  <c r="D31" i="55"/>
  <c r="D88" i="55" s="1"/>
  <c r="E63" i="81"/>
  <c r="D69" i="81"/>
  <c r="C14" i="72"/>
  <c r="C38" i="72" s="1"/>
  <c r="C140" i="55"/>
  <c r="E198" i="55" s="1"/>
  <c r="E253" i="55"/>
  <c r="B63" i="72"/>
  <c r="B64" i="72"/>
  <c r="K64" i="22"/>
  <c r="L61" i="22" s="1"/>
  <c r="L62" i="22" s="1"/>
  <c r="L63" i="22" s="1"/>
  <c r="C46" i="22"/>
  <c r="D43" i="22" s="1"/>
  <c r="D46" i="22" s="1"/>
  <c r="E43" i="22" s="1"/>
  <c r="E46" i="22" s="1"/>
  <c r="F43" i="22" s="1"/>
  <c r="F46" i="22" s="1"/>
  <c r="G43" i="22" s="1"/>
  <c r="G46" i="22" s="1"/>
  <c r="H43" i="22" s="1"/>
  <c r="H46" i="22" s="1"/>
  <c r="I43" i="22" s="1"/>
  <c r="I46" i="22" s="1"/>
  <c r="C66" i="22"/>
  <c r="B33" i="21" s="1"/>
  <c r="M56" i="22"/>
  <c r="M58" i="22" s="1"/>
  <c r="N55" i="22" s="1"/>
  <c r="L49" i="22"/>
  <c r="E33" i="21"/>
  <c r="E14" i="69"/>
  <c r="C33" i="21"/>
  <c r="C14" i="69"/>
  <c r="H33" i="21"/>
  <c r="H14" i="69"/>
  <c r="E13" i="72"/>
  <c r="F68" i="81"/>
  <c r="D277" i="55"/>
  <c r="B167" i="55"/>
  <c r="D226" i="55" s="1"/>
  <c r="D276" i="55"/>
  <c r="B166" i="55"/>
  <c r="D225" i="55" s="1"/>
  <c r="J28" i="42"/>
  <c r="J27" i="42"/>
  <c r="J29" i="42"/>
  <c r="J37" i="42"/>
  <c r="J43" i="42" s="1"/>
  <c r="H24" i="21" s="1"/>
  <c r="F86" i="81"/>
  <c r="E31" i="72"/>
  <c r="E55" i="72" s="1"/>
  <c r="D51" i="22"/>
  <c r="C67" i="22"/>
  <c r="E258" i="55"/>
  <c r="C145" i="55"/>
  <c r="E204" i="55" s="1"/>
  <c r="B45" i="55"/>
  <c r="B102" i="55" s="1"/>
  <c r="C56" i="83"/>
  <c r="D14" i="69"/>
  <c r="D33" i="21"/>
  <c r="E67" i="83"/>
  <c r="D56" i="55"/>
  <c r="D113" i="55" s="1"/>
  <c r="D19" i="72"/>
  <c r="D43" i="72" s="1"/>
  <c r="E74" i="81"/>
  <c r="F73" i="81"/>
  <c r="E18" i="72"/>
  <c r="E42" i="72" s="1"/>
  <c r="L38" i="22"/>
  <c r="L39" i="22" s="1"/>
  <c r="K23" i="22"/>
  <c r="H26" i="21" s="1"/>
  <c r="C120" i="55"/>
  <c r="E233" i="55"/>
  <c r="E14" i="55"/>
  <c r="E71" i="55" s="1"/>
  <c r="F46" i="81"/>
  <c r="E146" i="72"/>
  <c r="E47" i="83"/>
  <c r="D36" i="55"/>
  <c r="D93" i="55" s="1"/>
  <c r="J32" i="61"/>
  <c r="G10" i="21"/>
  <c r="R9" i="61"/>
  <c r="R13" i="61" s="1"/>
  <c r="Q13" i="61"/>
  <c r="E20" i="72"/>
  <c r="E44" i="72" s="1"/>
  <c r="F75" i="81"/>
  <c r="D68" i="55"/>
  <c r="D68" i="83"/>
  <c r="C57" i="55"/>
  <c r="C114" i="55" s="1"/>
  <c r="B52" i="55"/>
  <c r="B109" i="55" s="1"/>
  <c r="C63" i="83"/>
  <c r="D261" i="55"/>
  <c r="B148" i="55"/>
  <c r="D207" i="55" s="1"/>
  <c r="F159" i="72"/>
  <c r="D78" i="72"/>
  <c r="D79" i="72"/>
  <c r="D138" i="55"/>
  <c r="F251" i="55"/>
  <c r="B51" i="55"/>
  <c r="B108" i="55" s="1"/>
  <c r="C62" i="83"/>
  <c r="F236" i="55"/>
  <c r="D123" i="55"/>
  <c r="F181" i="55" s="1"/>
  <c r="B50" i="55"/>
  <c r="B107" i="55" s="1"/>
  <c r="C61" i="83"/>
  <c r="E248" i="55"/>
  <c r="C135" i="55"/>
  <c r="E193" i="55" s="1"/>
  <c r="D28" i="72"/>
  <c r="D52" i="72" s="1"/>
  <c r="E83" i="81"/>
  <c r="E81" i="81"/>
  <c r="D26" i="72"/>
  <c r="D50" i="72" s="1"/>
  <c r="D54" i="83"/>
  <c r="C43" i="55"/>
  <c r="C100" i="55" s="1"/>
  <c r="D48" i="83"/>
  <c r="C37" i="55"/>
  <c r="C94" i="55" s="1"/>
  <c r="D26" i="55"/>
  <c r="D83" i="55" s="1"/>
  <c r="E58" i="81"/>
  <c r="I34" i="42"/>
  <c r="E15" i="72"/>
  <c r="E39" i="72" s="1"/>
  <c r="F70" i="81"/>
  <c r="E18" i="55"/>
  <c r="E75" i="55" s="1"/>
  <c r="F50" i="81"/>
  <c r="B48" i="55"/>
  <c r="B105" i="55" s="1"/>
  <c r="C59" i="83"/>
  <c r="D25" i="55"/>
  <c r="D82" i="55" s="1"/>
  <c r="E57" i="81"/>
  <c r="D122" i="55"/>
  <c r="F180" i="55" s="1"/>
  <c r="F235" i="55"/>
  <c r="D17" i="55"/>
  <c r="D74" i="55" s="1"/>
  <c r="E49" i="81"/>
  <c r="D49" i="83"/>
  <c r="C38" i="55"/>
  <c r="C95" i="55" s="1"/>
  <c r="D178" i="55"/>
  <c r="F43" i="81"/>
  <c r="E11" i="55"/>
  <c r="D84" i="81"/>
  <c r="C29" i="72"/>
  <c r="C53" i="72" s="1"/>
  <c r="E70" i="83"/>
  <c r="D59" i="55"/>
  <c r="D116" i="55" s="1"/>
  <c r="B47" i="55"/>
  <c r="B104" i="55" s="1"/>
  <c r="C58" i="83"/>
  <c r="C165" i="55"/>
  <c r="E224" i="55" s="1"/>
  <c r="E275" i="55"/>
  <c r="B49" i="55"/>
  <c r="B106" i="55" s="1"/>
  <c r="C60" i="83"/>
  <c r="F33" i="21"/>
  <c r="F14" i="69"/>
  <c r="D52" i="22"/>
  <c r="F71" i="81"/>
  <c r="E16" i="72"/>
  <c r="E40" i="72" s="1"/>
  <c r="C126" i="55"/>
  <c r="E184" i="55" s="1"/>
  <c r="E239" i="55"/>
  <c r="K51" i="22"/>
  <c r="C133" i="55"/>
  <c r="E191" i="55" s="1"/>
  <c r="E246" i="55"/>
  <c r="D259" i="55"/>
  <c r="B146" i="55"/>
  <c r="D205" i="55" s="1"/>
  <c r="C35" i="55"/>
  <c r="D46" i="83"/>
  <c r="F242" i="55"/>
  <c r="D129" i="55"/>
  <c r="F241" i="55"/>
  <c r="D128" i="55"/>
  <c r="F186" i="55" s="1"/>
  <c r="D53" i="83"/>
  <c r="C42" i="55"/>
  <c r="C99" i="55" s="1"/>
  <c r="D52" i="83"/>
  <c r="C41" i="55"/>
  <c r="C98" i="55" s="1"/>
  <c r="J21" i="42"/>
  <c r="J23" i="42" s="1"/>
  <c r="C134" i="55"/>
  <c r="E192" i="55" s="1"/>
  <c r="E247" i="55"/>
  <c r="D260" i="55"/>
  <c r="B147" i="55"/>
  <c r="D206" i="55" s="1"/>
  <c r="C149" i="55"/>
  <c r="E208" i="55" s="1"/>
  <c r="E262" i="55"/>
  <c r="B46" i="55"/>
  <c r="B103" i="55" s="1"/>
  <c r="C57" i="83"/>
  <c r="K44" i="22"/>
  <c r="K45" i="22" s="1"/>
  <c r="F76" i="81"/>
  <c r="E21" i="72"/>
  <c r="E45" i="72" s="1"/>
  <c r="K65" i="22"/>
  <c r="L57" i="22"/>
  <c r="J177" i="72"/>
  <c r="J182" i="72" s="1"/>
  <c r="H23" i="21" s="1"/>
  <c r="F240" i="55"/>
  <c r="D127" i="55"/>
  <c r="F185" i="55" s="1"/>
  <c r="D59" i="81"/>
  <c r="C27" i="55"/>
  <c r="C84" i="55" s="1"/>
  <c r="G33" i="21"/>
  <c r="G14" i="69"/>
  <c r="D265" i="55"/>
  <c r="B152" i="55"/>
  <c r="D211" i="55" s="1"/>
  <c r="E278" i="55"/>
  <c r="C168" i="55"/>
  <c r="E227" i="55" s="1"/>
  <c r="D37" i="72"/>
  <c r="B92" i="55"/>
  <c r="F51" i="81"/>
  <c r="E19" i="55"/>
  <c r="E76" i="55" s="1"/>
  <c r="C58" i="55"/>
  <c r="C115" i="55" s="1"/>
  <c r="D69" i="83"/>
  <c r="D264" i="55"/>
  <c r="B151" i="55"/>
  <c r="D210" i="55" s="1"/>
  <c r="D263" i="55"/>
  <c r="B150" i="55"/>
  <c r="D209" i="55" s="1"/>
  <c r="F238" i="55"/>
  <c r="D125" i="55"/>
  <c r="F183" i="55" s="1"/>
  <c r="G62" i="81"/>
  <c r="F30" i="55"/>
  <c r="F87" i="55" s="1"/>
  <c r="D45" i="22"/>
  <c r="E45" i="22" s="1"/>
  <c r="F45" i="22" s="1"/>
  <c r="G45" i="22" s="1"/>
  <c r="H45" i="22" s="1"/>
  <c r="I45" i="22" s="1"/>
  <c r="B44" i="55"/>
  <c r="B101" i="55" s="1"/>
  <c r="C55" i="83"/>
  <c r="C39" i="55"/>
  <c r="C96" i="55" s="1"/>
  <c r="D50" i="83"/>
  <c r="D40" i="55"/>
  <c r="D97" i="55" s="1"/>
  <c r="E51" i="83"/>
  <c r="G252" i="55" l="1"/>
  <c r="D60" i="81"/>
  <c r="E60" i="81" s="1"/>
  <c r="F252" i="55"/>
  <c r="G197" i="55"/>
  <c r="F61" i="81"/>
  <c r="G61" i="81" s="1"/>
  <c r="F48" i="81"/>
  <c r="F16" i="55" s="1"/>
  <c r="F73" i="55" s="1"/>
  <c r="B84" i="72"/>
  <c r="B85" i="72"/>
  <c r="F196" i="55"/>
  <c r="E251" i="55"/>
  <c r="F45" i="81"/>
  <c r="F13" i="55" s="1"/>
  <c r="F70" i="55" s="1"/>
  <c r="D70" i="72"/>
  <c r="F147" i="72" s="1"/>
  <c r="E82" i="81"/>
  <c r="F82" i="81" s="1"/>
  <c r="E20" i="55"/>
  <c r="E77" i="55" s="1"/>
  <c r="G242" i="55" s="1"/>
  <c r="E242" i="55"/>
  <c r="C129" i="55"/>
  <c r="E187" i="55" s="1"/>
  <c r="B88" i="72"/>
  <c r="B86" i="72"/>
  <c r="D145" i="72" s="1"/>
  <c r="B100" i="72"/>
  <c r="B87" i="72"/>
  <c r="B101" i="72"/>
  <c r="B99" i="72"/>
  <c r="B79" i="55"/>
  <c r="D244" i="55" s="1"/>
  <c r="D71" i="72"/>
  <c r="C71" i="72"/>
  <c r="E160" i="72"/>
  <c r="D24" i="55"/>
  <c r="D81" i="55" s="1"/>
  <c r="D133" i="55" s="1"/>
  <c r="F191" i="55" s="1"/>
  <c r="M57" i="22"/>
  <c r="D65" i="22"/>
  <c r="C13" i="69" s="1"/>
  <c r="C15" i="69" s="1"/>
  <c r="F26" i="23"/>
  <c r="F24" i="23"/>
  <c r="F45" i="23"/>
  <c r="F61" i="23"/>
  <c r="F77" i="23"/>
  <c r="F93" i="23"/>
  <c r="F36" i="23"/>
  <c r="F53" i="23"/>
  <c r="F69" i="23"/>
  <c r="F85" i="23"/>
  <c r="F89" i="23"/>
  <c r="F73" i="23"/>
  <c r="F57" i="23"/>
  <c r="F41" i="23"/>
  <c r="F20" i="23"/>
  <c r="F87" i="23"/>
  <c r="F79" i="23"/>
  <c r="F71" i="23"/>
  <c r="F63" i="23"/>
  <c r="F55" i="23"/>
  <c r="F47" i="23"/>
  <c r="F39" i="23"/>
  <c r="F29" i="23"/>
  <c r="F18" i="23"/>
  <c r="F90" i="23"/>
  <c r="F86" i="23"/>
  <c r="F82" i="23"/>
  <c r="F78" i="23"/>
  <c r="F74" i="23"/>
  <c r="F70" i="23"/>
  <c r="F66" i="23"/>
  <c r="F62" i="23"/>
  <c r="F58" i="23"/>
  <c r="F54" i="23"/>
  <c r="F50" i="23"/>
  <c r="F46" i="23"/>
  <c r="F42" i="23"/>
  <c r="F38" i="23"/>
  <c r="F32" i="23"/>
  <c r="F27" i="23"/>
  <c r="F21" i="23"/>
  <c r="F17" i="23"/>
  <c r="F37" i="23"/>
  <c r="F16" i="23"/>
  <c r="F35" i="23"/>
  <c r="F81" i="23"/>
  <c r="F65" i="23"/>
  <c r="F49" i="23"/>
  <c r="F31" i="23"/>
  <c r="F91" i="23"/>
  <c r="F83" i="23"/>
  <c r="F75" i="23"/>
  <c r="F67" i="23"/>
  <c r="F59" i="23"/>
  <c r="F51" i="23"/>
  <c r="F43" i="23"/>
  <c r="F33" i="23"/>
  <c r="F22" i="23"/>
  <c r="F92" i="23"/>
  <c r="F88" i="23"/>
  <c r="F84" i="23"/>
  <c r="F80" i="23"/>
  <c r="F76" i="23"/>
  <c r="F72" i="23"/>
  <c r="F68" i="23"/>
  <c r="F64" i="23"/>
  <c r="F60" i="23"/>
  <c r="F56" i="23"/>
  <c r="F52" i="23"/>
  <c r="F48" i="23"/>
  <c r="F44" i="23"/>
  <c r="F40" i="23"/>
  <c r="F34" i="23"/>
  <c r="F30" i="23"/>
  <c r="F23" i="23"/>
  <c r="F19" i="23"/>
  <c r="F25" i="23"/>
  <c r="F28" i="23"/>
  <c r="D10" i="23"/>
  <c r="F10" i="23" s="1"/>
  <c r="E10" i="23" s="1"/>
  <c r="G10" i="23" s="1"/>
  <c r="C11" i="23" s="1"/>
  <c r="D158" i="72"/>
  <c r="C68" i="22"/>
  <c r="B33" i="55"/>
  <c r="J34" i="42"/>
  <c r="D22" i="72"/>
  <c r="D46" i="72" s="1"/>
  <c r="E77" i="81"/>
  <c r="D17" i="72"/>
  <c r="D41" i="72" s="1"/>
  <c r="E72" i="81"/>
  <c r="B106" i="72"/>
  <c r="B105" i="72"/>
  <c r="B104" i="72"/>
  <c r="E47" i="81"/>
  <c r="D15" i="55"/>
  <c r="D72" i="55" s="1"/>
  <c r="E237" i="55"/>
  <c r="C124" i="55"/>
  <c r="E182" i="55" s="1"/>
  <c r="C23" i="55"/>
  <c r="C80" i="55" s="1"/>
  <c r="D55" i="81"/>
  <c r="B132" i="55"/>
  <c r="D190" i="55" s="1"/>
  <c r="D245" i="55"/>
  <c r="C23" i="72"/>
  <c r="C47" i="72" s="1"/>
  <c r="D78" i="81"/>
  <c r="B32" i="72"/>
  <c r="D161" i="72" s="1"/>
  <c r="D79" i="81"/>
  <c r="B130" i="55"/>
  <c r="D188" i="55" s="1"/>
  <c r="D243" i="55"/>
  <c r="B95" i="72"/>
  <c r="B96" i="72"/>
  <c r="D53" i="81"/>
  <c r="C21" i="55"/>
  <c r="C78" i="55" s="1"/>
  <c r="D54" i="81"/>
  <c r="C22" i="55"/>
  <c r="C79" i="55" s="1"/>
  <c r="C25" i="72"/>
  <c r="C49" i="72" s="1"/>
  <c r="E157" i="72" s="1"/>
  <c r="D80" i="81"/>
  <c r="E250" i="55"/>
  <c r="C137" i="55"/>
  <c r="E195" i="55" s="1"/>
  <c r="E44" i="81"/>
  <c r="D12" i="55"/>
  <c r="D69" i="55" s="1"/>
  <c r="C63" i="72"/>
  <c r="C64" i="72"/>
  <c r="D28" i="55"/>
  <c r="D85" i="55" s="1"/>
  <c r="E69" i="81"/>
  <c r="D14" i="72"/>
  <c r="D38" i="72" s="1"/>
  <c r="F63" i="81"/>
  <c r="E31" i="55"/>
  <c r="E88" i="55" s="1"/>
  <c r="C121" i="55"/>
  <c r="E179" i="55" s="1"/>
  <c r="E234" i="55"/>
  <c r="F253" i="55"/>
  <c r="D140" i="55"/>
  <c r="F198" i="55" s="1"/>
  <c r="E85" i="81"/>
  <c r="D30" i="72"/>
  <c r="D54" i="72" s="1"/>
  <c r="B14" i="69"/>
  <c r="B15" i="69" s="1"/>
  <c r="L64" i="22"/>
  <c r="M61" i="22" s="1"/>
  <c r="M62" i="22" s="1"/>
  <c r="M63" i="22" s="1"/>
  <c r="K46" i="22"/>
  <c r="L43" i="22" s="1"/>
  <c r="L44" i="22" s="1"/>
  <c r="L45" i="22" s="1"/>
  <c r="L40" i="22"/>
  <c r="M37" i="22" s="1"/>
  <c r="N56" i="22"/>
  <c r="N58" i="22" s="1"/>
  <c r="O55" i="22" s="1"/>
  <c r="G96" i="22"/>
  <c r="I11" i="29"/>
  <c r="H107" i="29"/>
  <c r="H57" i="29"/>
  <c r="I93" i="29"/>
  <c r="C166" i="55"/>
  <c r="E225" i="55" s="1"/>
  <c r="E276" i="55"/>
  <c r="G73" i="81"/>
  <c r="F18" i="72"/>
  <c r="F42" i="72" s="1"/>
  <c r="G241" i="55"/>
  <c r="E128" i="55"/>
  <c r="G186" i="55" s="1"/>
  <c r="F21" i="72"/>
  <c r="F45" i="72" s="1"/>
  <c r="G76" i="81"/>
  <c r="F96" i="22"/>
  <c r="G57" i="29"/>
  <c r="G107" i="29"/>
  <c r="H11" i="29"/>
  <c r="H93" i="29"/>
  <c r="D168" i="55"/>
  <c r="F227" i="55" s="1"/>
  <c r="F278" i="55"/>
  <c r="F247" i="55"/>
  <c r="D134" i="55"/>
  <c r="F192" i="55" s="1"/>
  <c r="E26" i="55"/>
  <c r="E83" i="55" s="1"/>
  <c r="F58" i="81"/>
  <c r="D62" i="83"/>
  <c r="C51" i="55"/>
  <c r="C108" i="55" s="1"/>
  <c r="E68" i="83"/>
  <c r="D57" i="55"/>
  <c r="D114" i="55" s="1"/>
  <c r="E19" i="72"/>
  <c r="E43" i="72" s="1"/>
  <c r="F74" i="81"/>
  <c r="D57" i="29"/>
  <c r="D107" i="29"/>
  <c r="E93" i="29"/>
  <c r="C96" i="22"/>
  <c r="E11" i="29"/>
  <c r="D269" i="55"/>
  <c r="B156" i="55"/>
  <c r="D215" i="55" s="1"/>
  <c r="E138" i="55"/>
  <c r="G196" i="55" s="1"/>
  <c r="G251" i="55"/>
  <c r="H17" i="21"/>
  <c r="K42" i="61"/>
  <c r="J45" i="42"/>
  <c r="J47" i="42" s="1"/>
  <c r="F51" i="83"/>
  <c r="E40" i="55"/>
  <c r="E97" i="55" s="1"/>
  <c r="G51" i="81"/>
  <c r="F19" i="55"/>
  <c r="F76" i="55" s="1"/>
  <c r="C136" i="55"/>
  <c r="E249" i="55"/>
  <c r="K66" i="22"/>
  <c r="B97" i="22" s="1"/>
  <c r="D60" i="83"/>
  <c r="C49" i="55"/>
  <c r="C106" i="55" s="1"/>
  <c r="F70" i="83"/>
  <c r="E59" i="55"/>
  <c r="E116" i="55" s="1"/>
  <c r="C147" i="55"/>
  <c r="E206" i="55" s="1"/>
  <c r="E260" i="55"/>
  <c r="D59" i="83"/>
  <c r="C48" i="55"/>
  <c r="C105" i="55" s="1"/>
  <c r="D135" i="55"/>
  <c r="F193" i="55" s="1"/>
  <c r="F248" i="55"/>
  <c r="E26" i="72"/>
  <c r="E50" i="72" s="1"/>
  <c r="F81" i="81"/>
  <c r="D273" i="55"/>
  <c r="B160" i="55"/>
  <c r="D219" i="55" s="1"/>
  <c r="F146" i="72"/>
  <c r="F20" i="72"/>
  <c r="F44" i="72" s="1"/>
  <c r="G75" i="81"/>
  <c r="D93" i="29"/>
  <c r="B96" i="22"/>
  <c r="D11" i="29"/>
  <c r="C107" i="29"/>
  <c r="C57" i="29"/>
  <c r="D56" i="83"/>
  <c r="C45" i="55"/>
  <c r="C102" i="55" s="1"/>
  <c r="H252" i="55"/>
  <c r="F139" i="55"/>
  <c r="H197" i="55" s="1"/>
  <c r="E59" i="81"/>
  <c r="D27" i="55"/>
  <c r="D84" i="55" s="1"/>
  <c r="K67" i="22"/>
  <c r="E49" i="83"/>
  <c r="D38" i="55"/>
  <c r="D95" i="55" s="1"/>
  <c r="E28" i="72"/>
  <c r="E52" i="72" s="1"/>
  <c r="F83" i="81"/>
  <c r="E178" i="55"/>
  <c r="D267" i="55"/>
  <c r="B154" i="55"/>
  <c r="D213" i="55" s="1"/>
  <c r="E96" i="22"/>
  <c r="F107" i="29"/>
  <c r="G93" i="29"/>
  <c r="G11" i="29"/>
  <c r="F57" i="29"/>
  <c r="E50" i="83"/>
  <c r="D39" i="55"/>
  <c r="D96" i="55" s="1"/>
  <c r="H62" i="81"/>
  <c r="H30" i="55" s="1"/>
  <c r="H87" i="55" s="1"/>
  <c r="G30" i="55"/>
  <c r="G87" i="55" s="1"/>
  <c r="G52" i="81"/>
  <c r="F20" i="55"/>
  <c r="F77" i="55" s="1"/>
  <c r="D57" i="83"/>
  <c r="C46" i="55"/>
  <c r="C103" i="55" s="1"/>
  <c r="E263" i="55"/>
  <c r="C150" i="55"/>
  <c r="E209" i="55" s="1"/>
  <c r="E46" i="83"/>
  <c r="D35" i="55"/>
  <c r="B136" i="55"/>
  <c r="D249" i="55"/>
  <c r="E84" i="81"/>
  <c r="D29" i="72"/>
  <c r="D53" i="72" s="1"/>
  <c r="E17" i="55"/>
  <c r="E74" i="55" s="1"/>
  <c r="F49" i="81"/>
  <c r="F18" i="55"/>
  <c r="F75" i="55" s="1"/>
  <c r="G50" i="81"/>
  <c r="E48" i="83"/>
  <c r="D37" i="55"/>
  <c r="D94" i="55" s="1"/>
  <c r="D272" i="55"/>
  <c r="B159" i="55"/>
  <c r="D218" i="55" s="1"/>
  <c r="F233" i="55"/>
  <c r="D120" i="55"/>
  <c r="H136" i="29"/>
  <c r="H34" i="29"/>
  <c r="H160" i="29"/>
  <c r="H148" i="29"/>
  <c r="H124" i="29"/>
  <c r="G46" i="81"/>
  <c r="F14" i="55"/>
  <c r="F71" i="55" s="1"/>
  <c r="E56" i="55"/>
  <c r="E113" i="55" s="1"/>
  <c r="F67" i="83"/>
  <c r="G68" i="81"/>
  <c r="F13" i="72"/>
  <c r="L50" i="22"/>
  <c r="L52" i="22" s="1"/>
  <c r="E277" i="55"/>
  <c r="C167" i="55"/>
  <c r="E226" i="55" s="1"/>
  <c r="G17" i="21"/>
  <c r="J42" i="61"/>
  <c r="I45" i="42"/>
  <c r="I47" i="42" s="1"/>
  <c r="D165" i="55"/>
  <c r="F224" i="55" s="1"/>
  <c r="F275" i="55"/>
  <c r="E52" i="83"/>
  <c r="D41" i="55"/>
  <c r="D98" i="55" s="1"/>
  <c r="C92" i="55"/>
  <c r="G160" i="72"/>
  <c r="E70" i="72"/>
  <c r="E71" i="72"/>
  <c r="E68" i="55"/>
  <c r="F239" i="55"/>
  <c r="D126" i="55"/>
  <c r="F184" i="55" s="1"/>
  <c r="G240" i="55"/>
  <c r="E127" i="55"/>
  <c r="G185" i="55" s="1"/>
  <c r="C152" i="55"/>
  <c r="E211" i="55" s="1"/>
  <c r="E265" i="55"/>
  <c r="E123" i="55"/>
  <c r="G181" i="55" s="1"/>
  <c r="G236" i="55"/>
  <c r="F93" i="29"/>
  <c r="F11" i="29"/>
  <c r="E57" i="29"/>
  <c r="D96" i="22"/>
  <c r="E107" i="29"/>
  <c r="G86" i="81"/>
  <c r="F31" i="72"/>
  <c r="F55" i="72" s="1"/>
  <c r="E37" i="72"/>
  <c r="E49" i="22"/>
  <c r="D68" i="22"/>
  <c r="K32" i="61"/>
  <c r="H10" i="21"/>
  <c r="D271" i="55"/>
  <c r="B158" i="55"/>
  <c r="D217" i="55" s="1"/>
  <c r="C146" i="55"/>
  <c r="E205" i="55" s="1"/>
  <c r="E259" i="55"/>
  <c r="E261" i="55"/>
  <c r="C148" i="55"/>
  <c r="E207" i="55" s="1"/>
  <c r="D55" i="83"/>
  <c r="C44" i="55"/>
  <c r="C101" i="55" s="1"/>
  <c r="G71" i="81"/>
  <c r="F16" i="72"/>
  <c r="F40" i="72" s="1"/>
  <c r="G43" i="81"/>
  <c r="F11" i="55"/>
  <c r="G70" i="81"/>
  <c r="F15" i="72"/>
  <c r="F39" i="72" s="1"/>
  <c r="D43" i="55"/>
  <c r="D100" i="55" s="1"/>
  <c r="E54" i="83"/>
  <c r="D63" i="83"/>
  <c r="C52" i="55"/>
  <c r="C109" i="55" s="1"/>
  <c r="D145" i="55"/>
  <c r="F204" i="55" s="1"/>
  <c r="F258" i="55"/>
  <c r="E25" i="55"/>
  <c r="E82" i="55" s="1"/>
  <c r="F57" i="81"/>
  <c r="D149" i="55"/>
  <c r="F208" i="55" s="1"/>
  <c r="F262" i="55"/>
  <c r="D270" i="55"/>
  <c r="B157" i="55"/>
  <c r="D216" i="55" s="1"/>
  <c r="D61" i="83"/>
  <c r="C50" i="55"/>
  <c r="C107" i="55" s="1"/>
  <c r="B61" i="55"/>
  <c r="D268" i="55"/>
  <c r="B155" i="55"/>
  <c r="D214" i="55" s="1"/>
  <c r="D257" i="55"/>
  <c r="B144" i="55"/>
  <c r="D203" i="55" s="1"/>
  <c r="C151" i="55"/>
  <c r="E210" i="55" s="1"/>
  <c r="E264" i="55"/>
  <c r="D266" i="55"/>
  <c r="B153" i="55"/>
  <c r="D212" i="55" s="1"/>
  <c r="E69" i="83"/>
  <c r="D58" i="55"/>
  <c r="D115" i="55" s="1"/>
  <c r="E125" i="55"/>
  <c r="G183" i="55" s="1"/>
  <c r="G238" i="55"/>
  <c r="E53" i="83"/>
  <c r="D42" i="55"/>
  <c r="D99" i="55" s="1"/>
  <c r="G235" i="55"/>
  <c r="E122" i="55"/>
  <c r="G180" i="55" s="1"/>
  <c r="C47" i="55"/>
  <c r="C104" i="55" s="1"/>
  <c r="D58" i="83"/>
  <c r="F56" i="81"/>
  <c r="E24" i="55"/>
  <c r="E81" i="55" s="1"/>
  <c r="D274" i="55"/>
  <c r="B161" i="55"/>
  <c r="D220" i="55" s="1"/>
  <c r="F47" i="83"/>
  <c r="E36" i="55"/>
  <c r="E93" i="55" s="1"/>
  <c r="G159" i="72"/>
  <c r="E78" i="72"/>
  <c r="E79" i="72"/>
  <c r="E51" i="22"/>
  <c r="D67" i="22"/>
  <c r="H96" i="22"/>
  <c r="I57" i="29"/>
  <c r="J11" i="29"/>
  <c r="I107" i="29"/>
  <c r="J93" i="29"/>
  <c r="D165" i="72" l="1"/>
  <c r="G45" i="81"/>
  <c r="G13" i="55" s="1"/>
  <c r="G70" i="55" s="1"/>
  <c r="F29" i="55"/>
  <c r="F86" i="55" s="1"/>
  <c r="F138" i="55" s="1"/>
  <c r="H196" i="55" s="1"/>
  <c r="D144" i="72"/>
  <c r="N165" i="72"/>
  <c r="G48" i="81"/>
  <c r="G16" i="55" s="1"/>
  <c r="G73" i="55" s="1"/>
  <c r="C85" i="72"/>
  <c r="C86" i="72"/>
  <c r="E145" i="72" s="1"/>
  <c r="C87" i="72"/>
  <c r="C88" i="72"/>
  <c r="C84" i="72"/>
  <c r="E27" i="72"/>
  <c r="E51" i="72" s="1"/>
  <c r="G147" i="72"/>
  <c r="E129" i="55"/>
  <c r="G187" i="55" s="1"/>
  <c r="D166" i="72"/>
  <c r="F246" i="55"/>
  <c r="F187" i="55"/>
  <c r="B131" i="55"/>
  <c r="D189" i="55" s="1"/>
  <c r="C101" i="72"/>
  <c r="C100" i="72"/>
  <c r="C99" i="72"/>
  <c r="B10" i="55"/>
  <c r="D282" i="55" s="1"/>
  <c r="B65" i="55"/>
  <c r="D200" i="55" s="1"/>
  <c r="D11" i="23"/>
  <c r="F11" i="23" s="1"/>
  <c r="E11" i="23" s="1"/>
  <c r="G11" i="23" s="1"/>
  <c r="C12" i="23" s="1"/>
  <c r="D12" i="23" s="1"/>
  <c r="F12" i="23" s="1"/>
  <c r="E12" i="23" s="1"/>
  <c r="E158" i="72"/>
  <c r="K68" i="22"/>
  <c r="L65" i="22"/>
  <c r="D149" i="72"/>
  <c r="D124" i="55"/>
  <c r="F182" i="55" s="1"/>
  <c r="F237" i="55"/>
  <c r="F72" i="81"/>
  <c r="E17" i="72"/>
  <c r="E41" i="72" s="1"/>
  <c r="C106" i="72"/>
  <c r="C104" i="72"/>
  <c r="C105" i="72"/>
  <c r="F47" i="81"/>
  <c r="E15" i="55"/>
  <c r="E72" i="55" s="1"/>
  <c r="F77" i="81"/>
  <c r="E22" i="72"/>
  <c r="E46" i="72" s="1"/>
  <c r="C33" i="55"/>
  <c r="C65" i="55" s="1"/>
  <c r="E200" i="55" s="1"/>
  <c r="B12" i="72"/>
  <c r="D163" i="72" s="1"/>
  <c r="C32" i="72"/>
  <c r="C35" i="72" s="1"/>
  <c r="D25" i="72"/>
  <c r="D49" i="72" s="1"/>
  <c r="F157" i="72" s="1"/>
  <c r="E80" i="81"/>
  <c r="D21" i="55"/>
  <c r="E53" i="81"/>
  <c r="F53" i="81" s="1"/>
  <c r="G53" i="81" s="1"/>
  <c r="H53" i="81" s="1"/>
  <c r="E78" i="81"/>
  <c r="D23" i="72"/>
  <c r="D47" i="72" s="1"/>
  <c r="C96" i="72"/>
  <c r="C95" i="72"/>
  <c r="E244" i="55"/>
  <c r="C131" i="55"/>
  <c r="D22" i="55"/>
  <c r="D79" i="55" s="1"/>
  <c r="E54" i="81"/>
  <c r="E79" i="81"/>
  <c r="D24" i="72"/>
  <c r="D48" i="72" s="1"/>
  <c r="D23" i="55"/>
  <c r="D80" i="55" s="1"/>
  <c r="E55" i="81"/>
  <c r="B35" i="72"/>
  <c r="D164" i="72" s="1"/>
  <c r="E243" i="55"/>
  <c r="C130" i="55"/>
  <c r="C132" i="55"/>
  <c r="E190" i="55" s="1"/>
  <c r="E245" i="55"/>
  <c r="E28" i="55"/>
  <c r="E85" i="55" s="1"/>
  <c r="F60" i="81"/>
  <c r="G63" i="81"/>
  <c r="F31" i="55"/>
  <c r="F88" i="55" s="1"/>
  <c r="D63" i="72"/>
  <c r="D64" i="72"/>
  <c r="F44" i="81"/>
  <c r="E12" i="55"/>
  <c r="E69" i="55" s="1"/>
  <c r="E140" i="55"/>
  <c r="G198" i="55" s="1"/>
  <c r="G253" i="55"/>
  <c r="F234" i="55"/>
  <c r="D121" i="55"/>
  <c r="F179" i="55" s="1"/>
  <c r="E30" i="72"/>
  <c r="E54" i="72" s="1"/>
  <c r="F85" i="81"/>
  <c r="F69" i="81"/>
  <c r="E14" i="72"/>
  <c r="E38" i="72" s="1"/>
  <c r="D137" i="55"/>
  <c r="F195" i="55" s="1"/>
  <c r="F250" i="55"/>
  <c r="N57" i="22"/>
  <c r="M38" i="22"/>
  <c r="M39" i="22" s="1"/>
  <c r="G146" i="72"/>
  <c r="H236" i="55"/>
  <c r="F123" i="55"/>
  <c r="H181" i="55" s="1"/>
  <c r="E56" i="83"/>
  <c r="D45" i="55"/>
  <c r="D102" i="55" s="1"/>
  <c r="G14" i="55"/>
  <c r="G71" i="55" s="1"/>
  <c r="H46" i="81"/>
  <c r="H14" i="55" s="1"/>
  <c r="H71" i="55" s="1"/>
  <c r="H251" i="55"/>
  <c r="G58" i="81"/>
  <c r="F26" i="55"/>
  <c r="F83" i="55" s="1"/>
  <c r="F263" i="55"/>
  <c r="D150" i="55"/>
  <c r="F209" i="55" s="1"/>
  <c r="M49" i="22"/>
  <c r="E126" i="55"/>
  <c r="G184" i="55" s="1"/>
  <c r="G239" i="55"/>
  <c r="D92" i="55"/>
  <c r="L46" i="22"/>
  <c r="M43" i="22" s="1"/>
  <c r="F26" i="72"/>
  <c r="F50" i="72" s="1"/>
  <c r="G81" i="81"/>
  <c r="G278" i="55"/>
  <c r="E168" i="55"/>
  <c r="G227" i="55" s="1"/>
  <c r="F40" i="55"/>
  <c r="F97" i="55" s="1"/>
  <c r="G51" i="83"/>
  <c r="G29" i="55"/>
  <c r="G86" i="55" s="1"/>
  <c r="H61" i="81"/>
  <c r="H29" i="55" s="1"/>
  <c r="H86" i="55" s="1"/>
  <c r="G248" i="55"/>
  <c r="E135" i="55"/>
  <c r="G193" i="55" s="1"/>
  <c r="F127" i="55"/>
  <c r="H185" i="55" s="1"/>
  <c r="H240" i="55"/>
  <c r="F178" i="55"/>
  <c r="F28" i="72"/>
  <c r="F52" i="72" s="1"/>
  <c r="G83" i="81"/>
  <c r="F122" i="55"/>
  <c r="H180" i="55" s="1"/>
  <c r="H235" i="55"/>
  <c r="G20" i="72"/>
  <c r="G44" i="72" s="1"/>
  <c r="H75" i="81"/>
  <c r="H20" i="72" s="1"/>
  <c r="H44" i="72" s="1"/>
  <c r="F24" i="55"/>
  <c r="F81" i="55" s="1"/>
  <c r="G56" i="81"/>
  <c r="E42" i="55"/>
  <c r="E99" i="55" s="1"/>
  <c r="F53" i="83"/>
  <c r="G258" i="55"/>
  <c r="E145" i="55"/>
  <c r="G204" i="55" s="1"/>
  <c r="E58" i="83"/>
  <c r="D47" i="55"/>
  <c r="D104" i="55" s="1"/>
  <c r="F27" i="72"/>
  <c r="F51" i="72" s="1"/>
  <c r="G82" i="81"/>
  <c r="H160" i="72"/>
  <c r="F70" i="72"/>
  <c r="H147" i="72" s="1"/>
  <c r="F71" i="72"/>
  <c r="F52" i="83"/>
  <c r="E41" i="55"/>
  <c r="E98" i="55" s="1"/>
  <c r="L66" i="22"/>
  <c r="C97" i="22" s="1"/>
  <c r="F46" i="83"/>
  <c r="E35" i="55"/>
  <c r="G139" i="55"/>
  <c r="I197" i="55" s="1"/>
  <c r="I252" i="55"/>
  <c r="F260" i="55"/>
  <c r="D147" i="55"/>
  <c r="F206" i="55" s="1"/>
  <c r="D136" i="55"/>
  <c r="F194" i="55" s="1"/>
  <c r="F249" i="55"/>
  <c r="F59" i="55"/>
  <c r="F116" i="55" s="1"/>
  <c r="G70" i="83"/>
  <c r="E194" i="55"/>
  <c r="F68" i="55"/>
  <c r="D51" i="55"/>
  <c r="D108" i="55" s="1"/>
  <c r="E62" i="83"/>
  <c r="E63" i="83"/>
  <c r="D52" i="55"/>
  <c r="D109" i="55" s="1"/>
  <c r="I148" i="29"/>
  <c r="I136" i="29"/>
  <c r="I160" i="29"/>
  <c r="I34" i="29"/>
  <c r="I124" i="29"/>
  <c r="E257" i="55"/>
  <c r="C144" i="55"/>
  <c r="E203" i="55" s="1"/>
  <c r="G20" i="55"/>
  <c r="G77" i="55" s="1"/>
  <c r="H52" i="81"/>
  <c r="H20" i="55" s="1"/>
  <c r="H77" i="55" s="1"/>
  <c r="F36" i="55"/>
  <c r="F93" i="55" s="1"/>
  <c r="G47" i="83"/>
  <c r="E269" i="55"/>
  <c r="C156" i="55"/>
  <c r="E215" i="55" s="1"/>
  <c r="C159" i="55"/>
  <c r="E218" i="55" s="1"/>
  <c r="E272" i="55"/>
  <c r="F54" i="83"/>
  <c r="E43" i="55"/>
  <c r="E100" i="55" s="1"/>
  <c r="H71" i="81"/>
  <c r="H16" i="72" s="1"/>
  <c r="H40" i="72" s="1"/>
  <c r="G16" i="72"/>
  <c r="G40" i="72" s="1"/>
  <c r="E65" i="22"/>
  <c r="D13" i="69" s="1"/>
  <c r="D15" i="69" s="1"/>
  <c r="E52" i="22"/>
  <c r="G233" i="55"/>
  <c r="E120" i="55"/>
  <c r="F37" i="72"/>
  <c r="E29" i="72"/>
  <c r="E53" i="72" s="1"/>
  <c r="F84" i="81"/>
  <c r="J252" i="55"/>
  <c r="H139" i="55"/>
  <c r="F49" i="83"/>
  <c r="E38" i="55"/>
  <c r="E95" i="55" s="1"/>
  <c r="E27" i="55"/>
  <c r="E84" i="55" s="1"/>
  <c r="F59" i="81"/>
  <c r="E271" i="55"/>
  <c r="C158" i="55"/>
  <c r="E217" i="55" s="1"/>
  <c r="E274" i="55"/>
  <c r="C161" i="55"/>
  <c r="E220" i="55" s="1"/>
  <c r="C61" i="55"/>
  <c r="F129" i="55"/>
  <c r="H242" i="55"/>
  <c r="F264" i="55"/>
  <c r="D151" i="55"/>
  <c r="F210" i="55" s="1"/>
  <c r="H43" i="81"/>
  <c r="H11" i="55" s="1"/>
  <c r="G11" i="55"/>
  <c r="H86" i="81"/>
  <c r="H31" i="72" s="1"/>
  <c r="H55" i="72" s="1"/>
  <c r="G31" i="72"/>
  <c r="G55" i="72" s="1"/>
  <c r="G49" i="81"/>
  <c r="F17" i="55"/>
  <c r="F74" i="55" s="1"/>
  <c r="G262" i="55"/>
  <c r="E149" i="55"/>
  <c r="G208" i="55" s="1"/>
  <c r="D167" i="55"/>
  <c r="F226" i="55" s="1"/>
  <c r="F277" i="55"/>
  <c r="E61" i="83"/>
  <c r="D50" i="55"/>
  <c r="D107" i="55" s="1"/>
  <c r="F25" i="55"/>
  <c r="F82" i="55" s="1"/>
  <c r="G57" i="81"/>
  <c r="F265" i="55"/>
  <c r="D152" i="55"/>
  <c r="F211" i="55" s="1"/>
  <c r="E266" i="55"/>
  <c r="C153" i="55"/>
  <c r="E212" i="55" s="1"/>
  <c r="H68" i="81"/>
  <c r="H13" i="72" s="1"/>
  <c r="G13" i="72"/>
  <c r="D146" i="55"/>
  <c r="F205" i="55" s="1"/>
  <c r="F259" i="55"/>
  <c r="F261" i="55"/>
  <c r="D148" i="55"/>
  <c r="F207" i="55" s="1"/>
  <c r="E60" i="83"/>
  <c r="D49" i="55"/>
  <c r="D106" i="55" s="1"/>
  <c r="H241" i="55"/>
  <c r="F128" i="55"/>
  <c r="H186" i="55" s="1"/>
  <c r="F276" i="55"/>
  <c r="D166" i="55"/>
  <c r="F225" i="55" s="1"/>
  <c r="E55" i="83"/>
  <c r="D44" i="55"/>
  <c r="D101" i="55" s="1"/>
  <c r="C157" i="55"/>
  <c r="E216" i="55" s="1"/>
  <c r="E270" i="55"/>
  <c r="H51" i="81"/>
  <c r="H19" i="55" s="1"/>
  <c r="H76" i="55" s="1"/>
  <c r="G19" i="55"/>
  <c r="G76" i="55" s="1"/>
  <c r="F68" i="83"/>
  <c r="E57" i="55"/>
  <c r="E114" i="55" s="1"/>
  <c r="G21" i="72"/>
  <c r="G45" i="72" s="1"/>
  <c r="H76" i="81"/>
  <c r="H21" i="72" s="1"/>
  <c r="H45" i="72" s="1"/>
  <c r="F78" i="72"/>
  <c r="H159" i="72"/>
  <c r="F79" i="72"/>
  <c r="O56" i="22"/>
  <c r="O57" i="22" s="1"/>
  <c r="G246" i="55"/>
  <c r="E133" i="55"/>
  <c r="G191" i="55" s="1"/>
  <c r="F51" i="22"/>
  <c r="E67" i="22"/>
  <c r="F69" i="83"/>
  <c r="E58" i="55"/>
  <c r="E115" i="55" s="1"/>
  <c r="E134" i="55"/>
  <c r="G192" i="55" s="1"/>
  <c r="G247" i="55"/>
  <c r="H238" i="55"/>
  <c r="F125" i="55"/>
  <c r="H183" i="55" s="1"/>
  <c r="F56" i="55"/>
  <c r="F113" i="55" s="1"/>
  <c r="G67" i="83"/>
  <c r="E37" i="55"/>
  <c r="E94" i="55" s="1"/>
  <c r="F48" i="83"/>
  <c r="C155" i="55"/>
  <c r="E214" i="55" s="1"/>
  <c r="E268" i="55"/>
  <c r="E39" i="55"/>
  <c r="E96" i="55" s="1"/>
  <c r="F50" i="83"/>
  <c r="H70" i="81"/>
  <c r="H15" i="72" s="1"/>
  <c r="H39" i="72" s="1"/>
  <c r="G15" i="72"/>
  <c r="G39" i="72" s="1"/>
  <c r="M64" i="22"/>
  <c r="N61" i="22" s="1"/>
  <c r="G275" i="55"/>
  <c r="E165" i="55"/>
  <c r="G224" i="55" s="1"/>
  <c r="H50" i="81"/>
  <c r="H18" i="55" s="1"/>
  <c r="H75" i="55" s="1"/>
  <c r="G18" i="55"/>
  <c r="G75" i="55" s="1"/>
  <c r="D194" i="55"/>
  <c r="E57" i="83"/>
  <c r="D46" i="55"/>
  <c r="D103" i="55" s="1"/>
  <c r="L51" i="22"/>
  <c r="E267" i="55"/>
  <c r="C154" i="55"/>
  <c r="E213" i="55" s="1"/>
  <c r="E59" i="83"/>
  <c r="D48" i="55"/>
  <c r="D105" i="55" s="1"/>
  <c r="F19" i="72"/>
  <c r="F43" i="72" s="1"/>
  <c r="G74" i="81"/>
  <c r="E273" i="55"/>
  <c r="C160" i="55"/>
  <c r="E219" i="55" s="1"/>
  <c r="G18" i="72"/>
  <c r="G42" i="72" s="1"/>
  <c r="H73" i="81"/>
  <c r="H18" i="72" s="1"/>
  <c r="H42" i="72" s="1"/>
  <c r="H45" i="81" l="1"/>
  <c r="H13" i="55" s="1"/>
  <c r="H70" i="55" s="1"/>
  <c r="D294" i="55"/>
  <c r="D301" i="55" s="1"/>
  <c r="B22" i="21" s="1"/>
  <c r="B27" i="21" s="1"/>
  <c r="C140" i="29" s="1"/>
  <c r="D285" i="55"/>
  <c r="H48" i="81"/>
  <c r="H16" i="55" s="1"/>
  <c r="H73" i="55" s="1"/>
  <c r="J238" i="55" s="1"/>
  <c r="D85" i="72"/>
  <c r="D86" i="72"/>
  <c r="F145" i="72" s="1"/>
  <c r="D87" i="72"/>
  <c r="D88" i="72"/>
  <c r="D84" i="72"/>
  <c r="H187" i="55"/>
  <c r="E144" i="72"/>
  <c r="E165" i="72"/>
  <c r="E166" i="72"/>
  <c r="D284" i="55"/>
  <c r="L284" i="55" s="1"/>
  <c r="D283" i="55"/>
  <c r="E189" i="55"/>
  <c r="D101" i="72"/>
  <c r="D100" i="72"/>
  <c r="D99" i="72"/>
  <c r="D229" i="55"/>
  <c r="E30" i="61" s="1"/>
  <c r="F158" i="72"/>
  <c r="D162" i="72"/>
  <c r="E149" i="72"/>
  <c r="C12" i="72"/>
  <c r="E162" i="72" s="1"/>
  <c r="E161" i="72"/>
  <c r="F17" i="72"/>
  <c r="F41" i="72" s="1"/>
  <c r="G72" i="81"/>
  <c r="G77" i="81"/>
  <c r="F22" i="72"/>
  <c r="F46" i="72" s="1"/>
  <c r="E124" i="55"/>
  <c r="G182" i="55" s="1"/>
  <c r="G237" i="55"/>
  <c r="F15" i="55"/>
  <c r="F72" i="55" s="1"/>
  <c r="G47" i="81"/>
  <c r="C10" i="55"/>
  <c r="E294" i="55" s="1"/>
  <c r="E301" i="55" s="1"/>
  <c r="C22" i="21" s="1"/>
  <c r="C27" i="21" s="1"/>
  <c r="D104" i="72"/>
  <c r="D105" i="72"/>
  <c r="D106" i="72"/>
  <c r="D95" i="72"/>
  <c r="D96" i="72"/>
  <c r="D153" i="72"/>
  <c r="E23" i="72"/>
  <c r="E47" i="72" s="1"/>
  <c r="F78" i="81"/>
  <c r="F55" i="81"/>
  <c r="E23" i="55"/>
  <c r="E80" i="55" s="1"/>
  <c r="E21" i="55"/>
  <c r="E78" i="55" s="1"/>
  <c r="D132" i="55"/>
  <c r="F190" i="55" s="1"/>
  <c r="F245" i="55"/>
  <c r="E25" i="72"/>
  <c r="E49" i="72" s="1"/>
  <c r="G157" i="72" s="1"/>
  <c r="F80" i="81"/>
  <c r="D78" i="55"/>
  <c r="D33" i="55"/>
  <c r="D32" i="72"/>
  <c r="D12" i="72" s="1"/>
  <c r="F79" i="81"/>
  <c r="E24" i="72"/>
  <c r="E48" i="72" s="1"/>
  <c r="E285" i="55"/>
  <c r="F54" i="81"/>
  <c r="E22" i="55"/>
  <c r="E79" i="55" s="1"/>
  <c r="E188" i="55"/>
  <c r="E284" i="55"/>
  <c r="F244" i="55"/>
  <c r="D131" i="55"/>
  <c r="F189" i="55" s="1"/>
  <c r="F14" i="72"/>
  <c r="F38" i="72" s="1"/>
  <c r="G69" i="81"/>
  <c r="G44" i="81"/>
  <c r="F12" i="55"/>
  <c r="F69" i="55" s="1"/>
  <c r="G85" i="81"/>
  <c r="F30" i="72"/>
  <c r="F54" i="72" s="1"/>
  <c r="J197" i="55"/>
  <c r="H253" i="55"/>
  <c r="F140" i="55"/>
  <c r="H198" i="55" s="1"/>
  <c r="G31" i="55"/>
  <c r="G88" i="55" s="1"/>
  <c r="H63" i="81"/>
  <c r="H31" i="55" s="1"/>
  <c r="H88" i="55" s="1"/>
  <c r="G60" i="81"/>
  <c r="F28" i="55"/>
  <c r="F85" i="55" s="1"/>
  <c r="E64" i="72"/>
  <c r="E63" i="72"/>
  <c r="G234" i="55"/>
  <c r="E121" i="55"/>
  <c r="G179" i="55" s="1"/>
  <c r="G250" i="55"/>
  <c r="E137" i="55"/>
  <c r="G195" i="55" s="1"/>
  <c r="O58" i="22"/>
  <c r="P55" i="22" s="1"/>
  <c r="P56" i="22" s="1"/>
  <c r="P57" i="22" s="1"/>
  <c r="M40" i="22"/>
  <c r="N37" i="22" s="1"/>
  <c r="N38" i="22" s="1"/>
  <c r="N40" i="22" s="1"/>
  <c r="O37" i="22" s="1"/>
  <c r="O38" i="22" s="1"/>
  <c r="O40" i="22" s="1"/>
  <c r="P37" i="22" s="1"/>
  <c r="I240" i="55"/>
  <c r="G127" i="55"/>
  <c r="I185" i="55" s="1"/>
  <c r="F126" i="55"/>
  <c r="H184" i="55" s="1"/>
  <c r="H239" i="55"/>
  <c r="H246" i="55"/>
  <c r="F133" i="55"/>
  <c r="H191" i="55" s="1"/>
  <c r="M44" i="22"/>
  <c r="M45" i="22" s="1"/>
  <c r="L67" i="22"/>
  <c r="H127" i="55"/>
  <c r="J240" i="55"/>
  <c r="G261" i="55"/>
  <c r="E148" i="55"/>
  <c r="G207" i="55" s="1"/>
  <c r="H146" i="72"/>
  <c r="F271" i="55"/>
  <c r="D158" i="55"/>
  <c r="F217" i="55" s="1"/>
  <c r="F61" i="83"/>
  <c r="E50" i="55"/>
  <c r="E107" i="55" s="1"/>
  <c r="H49" i="81"/>
  <c r="H17" i="55" s="1"/>
  <c r="H74" i="55" s="1"/>
  <c r="G17" i="55"/>
  <c r="G74" i="55" s="1"/>
  <c r="F29" i="72"/>
  <c r="F53" i="72" s="1"/>
  <c r="G84" i="81"/>
  <c r="F49" i="22"/>
  <c r="E68" i="22"/>
  <c r="F63" i="83"/>
  <c r="E52" i="55"/>
  <c r="E109" i="55" s="1"/>
  <c r="H123" i="55"/>
  <c r="J236" i="55"/>
  <c r="F55" i="83"/>
  <c r="E44" i="55"/>
  <c r="E101" i="55" s="1"/>
  <c r="G125" i="55"/>
  <c r="I183" i="55" s="1"/>
  <c r="I238" i="55"/>
  <c r="F272" i="55"/>
  <c r="D159" i="55"/>
  <c r="F218" i="55" s="1"/>
  <c r="F60" i="83"/>
  <c r="E49" i="55"/>
  <c r="E106" i="55" s="1"/>
  <c r="F62" i="83"/>
  <c r="E51" i="55"/>
  <c r="E108" i="55" s="1"/>
  <c r="G263" i="55"/>
  <c r="E150" i="55"/>
  <c r="G209" i="55" s="1"/>
  <c r="H81" i="81"/>
  <c r="H26" i="72" s="1"/>
  <c r="H50" i="72" s="1"/>
  <c r="G26" i="72"/>
  <c r="G50" i="72" s="1"/>
  <c r="G123" i="55"/>
  <c r="I181" i="55" s="1"/>
  <c r="I236" i="55"/>
  <c r="D161" i="55"/>
  <c r="F220" i="55" s="1"/>
  <c r="F274" i="55"/>
  <c r="G59" i="81"/>
  <c r="F27" i="55"/>
  <c r="F84" i="55" s="1"/>
  <c r="G36" i="55"/>
  <c r="G93" i="55" s="1"/>
  <c r="H47" i="83"/>
  <c r="H36" i="55" s="1"/>
  <c r="H93" i="55" s="1"/>
  <c r="D160" i="55"/>
  <c r="F219" i="55" s="1"/>
  <c r="F273" i="55"/>
  <c r="E151" i="72"/>
  <c r="E164" i="72"/>
  <c r="M50" i="22"/>
  <c r="M52" i="22" s="1"/>
  <c r="M65" i="22"/>
  <c r="F135" i="55"/>
  <c r="H193" i="55" s="1"/>
  <c r="H248" i="55"/>
  <c r="D154" i="55"/>
  <c r="F213" i="55" s="1"/>
  <c r="F267" i="55"/>
  <c r="H78" i="72"/>
  <c r="J159" i="72"/>
  <c r="H79" i="72"/>
  <c r="F57" i="83"/>
  <c r="E46" i="55"/>
  <c r="E103" i="55" s="1"/>
  <c r="N62" i="22"/>
  <c r="N63" i="22" s="1"/>
  <c r="F37" i="55"/>
  <c r="F94" i="55" s="1"/>
  <c r="G48" i="83"/>
  <c r="E167" i="55"/>
  <c r="G226" i="55" s="1"/>
  <c r="G277" i="55"/>
  <c r="G276" i="55"/>
  <c r="E166" i="55"/>
  <c r="G225" i="55" s="1"/>
  <c r="G68" i="55"/>
  <c r="G249" i="55"/>
  <c r="E136" i="55"/>
  <c r="G194" i="55" s="1"/>
  <c r="H70" i="72"/>
  <c r="J160" i="72"/>
  <c r="H71" i="72"/>
  <c r="H258" i="55"/>
  <c r="F145" i="55"/>
  <c r="H204" i="55" s="1"/>
  <c r="G59" i="55"/>
  <c r="G116" i="55" s="1"/>
  <c r="H70" i="83"/>
  <c r="H59" i="55" s="1"/>
  <c r="H116" i="55" s="1"/>
  <c r="G27" i="72"/>
  <c r="G51" i="72" s="1"/>
  <c r="H82" i="81"/>
  <c r="H27" i="72" s="1"/>
  <c r="H51" i="72" s="1"/>
  <c r="H138" i="55"/>
  <c r="J251" i="55"/>
  <c r="D61" i="55"/>
  <c r="L68" i="22"/>
  <c r="H58" i="81"/>
  <c r="H26" i="55" s="1"/>
  <c r="H83" i="55" s="1"/>
  <c r="G26" i="55"/>
  <c r="G83" i="55" s="1"/>
  <c r="F56" i="83"/>
  <c r="E45" i="55"/>
  <c r="E102" i="55" s="1"/>
  <c r="E146" i="55"/>
  <c r="G205" i="55" s="1"/>
  <c r="G259" i="55"/>
  <c r="H68" i="55"/>
  <c r="G260" i="55"/>
  <c r="E147" i="55"/>
  <c r="G206" i="55" s="1"/>
  <c r="G178" i="55"/>
  <c r="G265" i="55"/>
  <c r="E152" i="55"/>
  <c r="G211" i="55" s="1"/>
  <c r="F168" i="55"/>
  <c r="H227" i="55" s="1"/>
  <c r="H278" i="55"/>
  <c r="E92" i="55"/>
  <c r="F42" i="55"/>
  <c r="F99" i="55" s="1"/>
  <c r="G53" i="83"/>
  <c r="I251" i="55"/>
  <c r="G138" i="55"/>
  <c r="I196" i="55" s="1"/>
  <c r="F257" i="55"/>
  <c r="D144" i="55"/>
  <c r="F203" i="55" s="1"/>
  <c r="G19" i="72"/>
  <c r="G43" i="72" s="1"/>
  <c r="H74" i="81"/>
  <c r="H19" i="72" s="1"/>
  <c r="H43" i="72" s="1"/>
  <c r="F268" i="55"/>
  <c r="D155" i="55"/>
  <c r="F214" i="55" s="1"/>
  <c r="D157" i="55"/>
  <c r="F216" i="55" s="1"/>
  <c r="F270" i="55"/>
  <c r="F58" i="55"/>
  <c r="F115" i="55" s="1"/>
  <c r="G69" i="83"/>
  <c r="F57" i="55"/>
  <c r="F114" i="55" s="1"/>
  <c r="G68" i="83"/>
  <c r="G56" i="55"/>
  <c r="G113" i="55" s="1"/>
  <c r="H67" i="83"/>
  <c r="H56" i="55" s="1"/>
  <c r="H113" i="55" s="1"/>
  <c r="G128" i="55"/>
  <c r="I186" i="55" s="1"/>
  <c r="I241" i="55"/>
  <c r="G37" i="72"/>
  <c r="G25" i="55"/>
  <c r="G82" i="55" s="1"/>
  <c r="H57" i="81"/>
  <c r="H25" i="55" s="1"/>
  <c r="H82" i="55" s="1"/>
  <c r="G12" i="23"/>
  <c r="C13" i="23" s="1"/>
  <c r="F38" i="55"/>
  <c r="F95" i="55" s="1"/>
  <c r="G49" i="83"/>
  <c r="F43" i="55"/>
  <c r="F100" i="55" s="1"/>
  <c r="G54" i="83"/>
  <c r="F35" i="55"/>
  <c r="G46" i="83"/>
  <c r="F269" i="55"/>
  <c r="D156" i="55"/>
  <c r="F215" i="55" s="1"/>
  <c r="G264" i="55"/>
  <c r="E151" i="55"/>
  <c r="G210" i="55" s="1"/>
  <c r="G28" i="72"/>
  <c r="G52" i="72" s="1"/>
  <c r="H83" i="81"/>
  <c r="H28" i="72" s="1"/>
  <c r="H52" i="72" s="1"/>
  <c r="G40" i="55"/>
  <c r="G97" i="55" s="1"/>
  <c r="H51" i="83"/>
  <c r="H40" i="55" s="1"/>
  <c r="H97" i="55" s="1"/>
  <c r="J235" i="55"/>
  <c r="H122" i="55"/>
  <c r="F39" i="55"/>
  <c r="F96" i="55" s="1"/>
  <c r="G50" i="83"/>
  <c r="G129" i="55"/>
  <c r="I187" i="55" s="1"/>
  <c r="I242" i="55"/>
  <c r="G70" i="72"/>
  <c r="I147" i="72" s="1"/>
  <c r="I160" i="72"/>
  <c r="G71" i="72"/>
  <c r="F41" i="55"/>
  <c r="F98" i="55" s="1"/>
  <c r="G52" i="83"/>
  <c r="G78" i="72"/>
  <c r="I159" i="72"/>
  <c r="G79" i="72"/>
  <c r="F59" i="83"/>
  <c r="E48" i="55"/>
  <c r="E105" i="55" s="1"/>
  <c r="H275" i="55"/>
  <c r="F165" i="55"/>
  <c r="H224" i="55" s="1"/>
  <c r="G51" i="22"/>
  <c r="F67" i="22"/>
  <c r="J241" i="55"/>
  <c r="H128" i="55"/>
  <c r="D153" i="55"/>
  <c r="F212" i="55" s="1"/>
  <c r="F266" i="55"/>
  <c r="H37" i="72"/>
  <c r="H247" i="55"/>
  <c r="F134" i="55"/>
  <c r="H192" i="55" s="1"/>
  <c r="J242" i="55"/>
  <c r="H129" i="55"/>
  <c r="H233" i="55"/>
  <c r="F120" i="55"/>
  <c r="E47" i="55"/>
  <c r="E104" i="55" s="1"/>
  <c r="F58" i="83"/>
  <c r="G24" i="55"/>
  <c r="G81" i="55" s="1"/>
  <c r="H56" i="81"/>
  <c r="H24" i="55" s="1"/>
  <c r="H81" i="55" s="1"/>
  <c r="H262" i="55"/>
  <c r="F149" i="55"/>
  <c r="H208" i="55" s="1"/>
  <c r="G122" i="55"/>
  <c r="I180" i="55" s="1"/>
  <c r="I235" i="55"/>
  <c r="H125" i="55" l="1"/>
  <c r="N39" i="22"/>
  <c r="O39" i="22" s="1"/>
  <c r="C128" i="29"/>
  <c r="C42" i="29"/>
  <c r="C152" i="29"/>
  <c r="C23" i="68"/>
  <c r="C164" i="29"/>
  <c r="E85" i="72"/>
  <c r="E86" i="72"/>
  <c r="G145" i="72" s="1"/>
  <c r="E87" i="72"/>
  <c r="E88" i="72"/>
  <c r="E84" i="72"/>
  <c r="G144" i="72" s="1"/>
  <c r="E13" i="61"/>
  <c r="D290" i="55" s="1"/>
  <c r="D292" i="55" s="1"/>
  <c r="E40" i="61" s="1"/>
  <c r="F144" i="72"/>
  <c r="F166" i="72"/>
  <c r="F165" i="72"/>
  <c r="E229" i="55"/>
  <c r="F30" i="61" s="1"/>
  <c r="E101" i="72"/>
  <c r="E100" i="72"/>
  <c r="E99" i="72"/>
  <c r="B8" i="21"/>
  <c r="C134" i="29" s="1"/>
  <c r="G158" i="72"/>
  <c r="F149" i="72"/>
  <c r="J186" i="55"/>
  <c r="D35" i="72"/>
  <c r="F151" i="72" s="1"/>
  <c r="E163" i="72"/>
  <c r="F14" i="61" s="1"/>
  <c r="E172" i="72" s="1"/>
  <c r="E153" i="72"/>
  <c r="F31" i="61" s="1"/>
  <c r="E283" i="55"/>
  <c r="J187" i="55"/>
  <c r="E33" i="55"/>
  <c r="E10" i="55" s="1"/>
  <c r="E282" i="55"/>
  <c r="H237" i="55"/>
  <c r="F124" i="55"/>
  <c r="H182" i="55" s="1"/>
  <c r="H77" i="81"/>
  <c r="H22" i="72" s="1"/>
  <c r="H46" i="72" s="1"/>
  <c r="G22" i="72"/>
  <c r="G46" i="72" s="1"/>
  <c r="G17" i="72"/>
  <c r="G41" i="72" s="1"/>
  <c r="H72" i="81"/>
  <c r="H17" i="72" s="1"/>
  <c r="H41" i="72" s="1"/>
  <c r="G15" i="55"/>
  <c r="G72" i="55" s="1"/>
  <c r="H47" i="81"/>
  <c r="H15" i="55" s="1"/>
  <c r="H72" i="55" s="1"/>
  <c r="J183" i="55"/>
  <c r="E104" i="72"/>
  <c r="E105" i="72"/>
  <c r="E106" i="72"/>
  <c r="E14" i="61"/>
  <c r="E32" i="72"/>
  <c r="E35" i="72" s="1"/>
  <c r="G164" i="72" s="1"/>
  <c r="F161" i="72"/>
  <c r="G55" i="81"/>
  <c r="F23" i="55"/>
  <c r="F80" i="55" s="1"/>
  <c r="G78" i="81"/>
  <c r="F23" i="72"/>
  <c r="F47" i="72" s="1"/>
  <c r="G79" i="81"/>
  <c r="F24" i="72"/>
  <c r="F48" i="72" s="1"/>
  <c r="G243" i="55"/>
  <c r="E130" i="55"/>
  <c r="E95" i="72"/>
  <c r="E96" i="72"/>
  <c r="F21" i="55"/>
  <c r="F78" i="55" s="1"/>
  <c r="E31" i="61"/>
  <c r="E34" i="61" s="1"/>
  <c r="B9" i="21"/>
  <c r="D65" i="55"/>
  <c r="F200" i="55" s="1"/>
  <c r="D10" i="55"/>
  <c r="D130" i="55"/>
  <c r="F243" i="55"/>
  <c r="E131" i="55"/>
  <c r="G189" i="55" s="1"/>
  <c r="G244" i="55"/>
  <c r="G80" i="81"/>
  <c r="F25" i="72"/>
  <c r="F49" i="72" s="1"/>
  <c r="H157" i="72" s="1"/>
  <c r="G54" i="81"/>
  <c r="F22" i="55"/>
  <c r="F79" i="55" s="1"/>
  <c r="G245" i="55"/>
  <c r="E132" i="55"/>
  <c r="G190" i="55" s="1"/>
  <c r="H250" i="55"/>
  <c r="F137" i="55"/>
  <c r="H195" i="55" s="1"/>
  <c r="H60" i="81"/>
  <c r="H28" i="55" s="1"/>
  <c r="H85" i="55" s="1"/>
  <c r="G28" i="55"/>
  <c r="G85" i="55" s="1"/>
  <c r="I253" i="55"/>
  <c r="G140" i="55"/>
  <c r="I198" i="55" s="1"/>
  <c r="H234" i="55"/>
  <c r="F121" i="55"/>
  <c r="H179" i="55" s="1"/>
  <c r="J253" i="55"/>
  <c r="H140" i="55"/>
  <c r="G12" i="55"/>
  <c r="G69" i="55" s="1"/>
  <c r="H44" i="81"/>
  <c r="H12" i="55" s="1"/>
  <c r="H69" i="55" s="1"/>
  <c r="H85" i="81"/>
  <c r="H30" i="72" s="1"/>
  <c r="H54" i="72" s="1"/>
  <c r="G30" i="72"/>
  <c r="G54" i="72" s="1"/>
  <c r="H69" i="81"/>
  <c r="H14" i="72" s="1"/>
  <c r="H38" i="72" s="1"/>
  <c r="G14" i="72"/>
  <c r="G38" i="72" s="1"/>
  <c r="J180" i="55"/>
  <c r="J196" i="55"/>
  <c r="F64" i="72"/>
  <c r="F63" i="72"/>
  <c r="P58" i="22"/>
  <c r="Q55" i="22" s="1"/>
  <c r="Q56" i="22" s="1"/>
  <c r="Q58" i="22" s="1"/>
  <c r="P38" i="22"/>
  <c r="P40" i="22" s="1"/>
  <c r="Q37" i="22" s="1"/>
  <c r="H261" i="55"/>
  <c r="F148" i="55"/>
  <c r="H207" i="55" s="1"/>
  <c r="G165" i="55"/>
  <c r="I224" i="55" s="1"/>
  <c r="I275" i="55"/>
  <c r="I278" i="55"/>
  <c r="G168" i="55"/>
  <c r="I227" i="55" s="1"/>
  <c r="F46" i="55"/>
  <c r="F103" i="55" s="1"/>
  <c r="G57" i="83"/>
  <c r="F44" i="55"/>
  <c r="F101" i="55" s="1"/>
  <c r="G55" i="83"/>
  <c r="G57" i="55"/>
  <c r="G114" i="55" s="1"/>
  <c r="H68" i="83"/>
  <c r="H57" i="55" s="1"/>
  <c r="H114" i="55" s="1"/>
  <c r="G42" i="55"/>
  <c r="G99" i="55" s="1"/>
  <c r="H53" i="83"/>
  <c r="H42" i="55" s="1"/>
  <c r="H99" i="55" s="1"/>
  <c r="J239" i="55"/>
  <c r="H126" i="55"/>
  <c r="I239" i="55"/>
  <c r="G126" i="55"/>
  <c r="I184" i="55" s="1"/>
  <c r="J246" i="55"/>
  <c r="H133" i="55"/>
  <c r="G133" i="55"/>
  <c r="I191" i="55" s="1"/>
  <c r="I246" i="55"/>
  <c r="I146" i="72"/>
  <c r="H276" i="55"/>
  <c r="F166" i="55"/>
  <c r="H225" i="55" s="1"/>
  <c r="F151" i="55"/>
  <c r="H210" i="55" s="1"/>
  <c r="H264" i="55"/>
  <c r="G267" i="55"/>
  <c r="E154" i="55"/>
  <c r="G213" i="55" s="1"/>
  <c r="G120" i="55"/>
  <c r="I233" i="55"/>
  <c r="J258" i="55"/>
  <c r="H145" i="55"/>
  <c r="G274" i="55"/>
  <c r="E161" i="55"/>
  <c r="G220" i="55" s="1"/>
  <c r="E159" i="55"/>
  <c r="G218" i="55" s="1"/>
  <c r="G272" i="55"/>
  <c r="G67" i="22"/>
  <c r="H51" i="22"/>
  <c r="D13" i="23"/>
  <c r="G43" i="55"/>
  <c r="G100" i="55" s="1"/>
  <c r="H54" i="83"/>
  <c r="H43" i="55" s="1"/>
  <c r="H100" i="55" s="1"/>
  <c r="G37" i="55"/>
  <c r="G94" i="55" s="1"/>
  <c r="H48" i="83"/>
  <c r="H37" i="55" s="1"/>
  <c r="H94" i="55" s="1"/>
  <c r="I258" i="55"/>
  <c r="G145" i="55"/>
  <c r="I204" i="55" s="1"/>
  <c r="F50" i="55"/>
  <c r="F107" i="55" s="1"/>
  <c r="G61" i="83"/>
  <c r="G269" i="55"/>
  <c r="E156" i="55"/>
  <c r="G215" i="55" s="1"/>
  <c r="F162" i="72"/>
  <c r="F163" i="72"/>
  <c r="F150" i="55"/>
  <c r="H209" i="55" s="1"/>
  <c r="H263" i="55"/>
  <c r="F152" i="55"/>
  <c r="H211" i="55" s="1"/>
  <c r="H265" i="55"/>
  <c r="I247" i="55"/>
  <c r="G134" i="55"/>
  <c r="I192" i="55" s="1"/>
  <c r="F167" i="55"/>
  <c r="H226" i="55" s="1"/>
  <c r="H277" i="55"/>
  <c r="I248" i="55"/>
  <c r="G135" i="55"/>
  <c r="I193" i="55" s="1"/>
  <c r="F146" i="55"/>
  <c r="H205" i="55" s="1"/>
  <c r="H259" i="55"/>
  <c r="N49" i="22"/>
  <c r="F136" i="55"/>
  <c r="H194" i="55" s="1"/>
  <c r="H249" i="55"/>
  <c r="G271" i="55"/>
  <c r="E158" i="55"/>
  <c r="G217" i="55" s="1"/>
  <c r="M46" i="22"/>
  <c r="N43" i="22" s="1"/>
  <c r="G58" i="55"/>
  <c r="G115" i="55" s="1"/>
  <c r="H69" i="83"/>
  <c r="H58" i="55" s="1"/>
  <c r="H115" i="55" s="1"/>
  <c r="F45" i="55"/>
  <c r="F102" i="55" s="1"/>
  <c r="G56" i="83"/>
  <c r="D128" i="29"/>
  <c r="D140" i="29"/>
  <c r="D152" i="29"/>
  <c r="D164" i="29"/>
  <c r="D23" i="68"/>
  <c r="D42" i="29"/>
  <c r="J262" i="55"/>
  <c r="H149" i="55"/>
  <c r="G35" i="55"/>
  <c r="H46" i="83"/>
  <c r="H35" i="55" s="1"/>
  <c r="J233" i="55"/>
  <c r="H120" i="55"/>
  <c r="H135" i="55"/>
  <c r="J248" i="55"/>
  <c r="J147" i="72"/>
  <c r="N64" i="22"/>
  <c r="O61" i="22" s="1"/>
  <c r="J146" i="72"/>
  <c r="M66" i="22"/>
  <c r="D97" i="22" s="1"/>
  <c r="H59" i="81"/>
  <c r="H27" i="55" s="1"/>
  <c r="H84" i="55" s="1"/>
  <c r="G27" i="55"/>
  <c r="G84" i="55" s="1"/>
  <c r="G273" i="55"/>
  <c r="E160" i="55"/>
  <c r="G219" i="55" s="1"/>
  <c r="F49" i="55"/>
  <c r="F106" i="55" s="1"/>
  <c r="G60" i="83"/>
  <c r="F65" i="22"/>
  <c r="E13" i="69" s="1"/>
  <c r="E15" i="69" s="1"/>
  <c r="F52" i="22"/>
  <c r="J247" i="55"/>
  <c r="H134" i="55"/>
  <c r="F52" i="55"/>
  <c r="F109" i="55" s="1"/>
  <c r="G63" i="83"/>
  <c r="F92" i="55"/>
  <c r="E61" i="55"/>
  <c r="F51" i="55"/>
  <c r="F108" i="55" s="1"/>
  <c r="G62" i="83"/>
  <c r="G29" i="72"/>
  <c r="G53" i="72" s="1"/>
  <c r="H84" i="81"/>
  <c r="H29" i="72" s="1"/>
  <c r="H53" i="72" s="1"/>
  <c r="J185" i="55"/>
  <c r="F47" i="55"/>
  <c r="F104" i="55" s="1"/>
  <c r="G58" i="83"/>
  <c r="G41" i="55"/>
  <c r="G98" i="55" s="1"/>
  <c r="H52" i="83"/>
  <c r="H41" i="55" s="1"/>
  <c r="H98" i="55" s="1"/>
  <c r="J181" i="55"/>
  <c r="G270" i="55"/>
  <c r="E157" i="55"/>
  <c r="G216" i="55" s="1"/>
  <c r="G149" i="55"/>
  <c r="I208" i="55" s="1"/>
  <c r="I262" i="55"/>
  <c r="G38" i="55"/>
  <c r="G95" i="55" s="1"/>
  <c r="H49" i="83"/>
  <c r="H38" i="55" s="1"/>
  <c r="H95" i="55" s="1"/>
  <c r="H178" i="55"/>
  <c r="F48" i="55"/>
  <c r="F105" i="55" s="1"/>
  <c r="G59" i="83"/>
  <c r="G39" i="55"/>
  <c r="G96" i="55" s="1"/>
  <c r="H50" i="83"/>
  <c r="H39" i="55" s="1"/>
  <c r="H96" i="55" s="1"/>
  <c r="F147" i="55"/>
  <c r="H206" i="55" s="1"/>
  <c r="H260" i="55"/>
  <c r="J275" i="55"/>
  <c r="H165" i="55"/>
  <c r="J224" i="55" s="1"/>
  <c r="G257" i="55"/>
  <c r="E144" i="55"/>
  <c r="G203" i="55" s="1"/>
  <c r="J278" i="55"/>
  <c r="H168" i="55"/>
  <c r="J227" i="55" s="1"/>
  <c r="G268" i="55"/>
  <c r="E155" i="55"/>
  <c r="G214" i="55" s="1"/>
  <c r="G266" i="55"/>
  <c r="E153" i="55"/>
  <c r="G212" i="55" s="1"/>
  <c r="M51" i="22"/>
  <c r="J208" i="55" l="1"/>
  <c r="J204" i="55"/>
  <c r="F34" i="61"/>
  <c r="F85" i="72"/>
  <c r="F86" i="72"/>
  <c r="H145" i="72" s="1"/>
  <c r="F87" i="72"/>
  <c r="F88" i="72"/>
  <c r="F84" i="72"/>
  <c r="H144" i="72" s="1"/>
  <c r="B15" i="21"/>
  <c r="D302" i="55"/>
  <c r="D305" i="55" s="1"/>
  <c r="E17" i="61"/>
  <c r="E35" i="61" s="1"/>
  <c r="E37" i="61" s="1"/>
  <c r="F6" i="61"/>
  <c r="E289" i="55" s="1"/>
  <c r="G165" i="72"/>
  <c r="G166" i="72"/>
  <c r="C8" i="21"/>
  <c r="D158" i="29" s="1"/>
  <c r="F101" i="72"/>
  <c r="F100" i="72"/>
  <c r="F99" i="72"/>
  <c r="B12" i="21"/>
  <c r="C6" i="68" s="1"/>
  <c r="C158" i="29"/>
  <c r="C32" i="29"/>
  <c r="C122" i="29"/>
  <c r="C146" i="29"/>
  <c r="G149" i="72"/>
  <c r="H158" i="72"/>
  <c r="F164" i="72"/>
  <c r="G14" i="61" s="1"/>
  <c r="E65" i="55"/>
  <c r="G200" i="55" s="1"/>
  <c r="F13" i="61"/>
  <c r="G6" i="61" s="1"/>
  <c r="F289" i="55" s="1"/>
  <c r="F153" i="72"/>
  <c r="G31" i="61" s="1"/>
  <c r="C9" i="21"/>
  <c r="F104" i="72"/>
  <c r="F105" i="72"/>
  <c r="F106" i="72"/>
  <c r="H124" i="55"/>
  <c r="J237" i="55"/>
  <c r="I237" i="55"/>
  <c r="G124" i="55"/>
  <c r="I182" i="55" s="1"/>
  <c r="G161" i="72"/>
  <c r="E12" i="72"/>
  <c r="G163" i="72" s="1"/>
  <c r="F7" i="61"/>
  <c r="G151" i="72"/>
  <c r="D172" i="72"/>
  <c r="D174" i="72" s="1"/>
  <c r="G25" i="72"/>
  <c r="G49" i="72" s="1"/>
  <c r="I157" i="72" s="1"/>
  <c r="H80" i="81"/>
  <c r="H25" i="72" s="1"/>
  <c r="H49" i="72" s="1"/>
  <c r="J157" i="72" s="1"/>
  <c r="G188" i="55"/>
  <c r="G284" i="55"/>
  <c r="H243" i="55"/>
  <c r="F130" i="55"/>
  <c r="H79" i="81"/>
  <c r="H24" i="72" s="1"/>
  <c r="H48" i="72" s="1"/>
  <c r="G24" i="72"/>
  <c r="G48" i="72" s="1"/>
  <c r="C33" i="29"/>
  <c r="C159" i="29"/>
  <c r="C147" i="29"/>
  <c r="C135" i="29"/>
  <c r="C138" i="29" s="1"/>
  <c r="C123" i="29"/>
  <c r="G21" i="55"/>
  <c r="G78" i="55" s="1"/>
  <c r="H21" i="55"/>
  <c r="H78" i="55" s="1"/>
  <c r="F96" i="72"/>
  <c r="F95" i="72"/>
  <c r="F131" i="55"/>
  <c r="H189" i="55" s="1"/>
  <c r="H244" i="55"/>
  <c r="F188" i="55"/>
  <c r="F229" i="55" s="1"/>
  <c r="F284" i="55"/>
  <c r="F285" i="55"/>
  <c r="G23" i="72"/>
  <c r="H78" i="81"/>
  <c r="H23" i="72" s="1"/>
  <c r="H47" i="72" s="1"/>
  <c r="F32" i="72"/>
  <c r="F35" i="72" s="1"/>
  <c r="H164" i="72" s="1"/>
  <c r="G22" i="55"/>
  <c r="G79" i="55" s="1"/>
  <c r="H54" i="81"/>
  <c r="H22" i="55" s="1"/>
  <c r="F283" i="55"/>
  <c r="F294" i="55"/>
  <c r="F301" i="55" s="1"/>
  <c r="D22" i="21" s="1"/>
  <c r="D27" i="21" s="1"/>
  <c r="F282" i="55"/>
  <c r="F132" i="55"/>
  <c r="H190" i="55" s="1"/>
  <c r="H245" i="55"/>
  <c r="G285" i="55"/>
  <c r="F33" i="55"/>
  <c r="G23" i="55"/>
  <c r="G80" i="55" s="1"/>
  <c r="H55" i="81"/>
  <c r="H23" i="55" s="1"/>
  <c r="H80" i="55" s="1"/>
  <c r="J192" i="55"/>
  <c r="J193" i="55"/>
  <c r="H63" i="72"/>
  <c r="H64" i="72"/>
  <c r="G121" i="55"/>
  <c r="I179" i="55" s="1"/>
  <c r="I234" i="55"/>
  <c r="J250" i="55"/>
  <c r="H137" i="55"/>
  <c r="G137" i="55"/>
  <c r="I195" i="55" s="1"/>
  <c r="I250" i="55"/>
  <c r="J184" i="55"/>
  <c r="J198" i="55"/>
  <c r="H121" i="55"/>
  <c r="J234" i="55"/>
  <c r="G64" i="72"/>
  <c r="G63" i="72"/>
  <c r="P39" i="22"/>
  <c r="G7" i="61"/>
  <c r="F171" i="72" s="1"/>
  <c r="H274" i="55"/>
  <c r="F161" i="55"/>
  <c r="H220" i="55" s="1"/>
  <c r="J263" i="55"/>
  <c r="H150" i="55"/>
  <c r="O62" i="22"/>
  <c r="O63" i="22" s="1"/>
  <c r="H92" i="55"/>
  <c r="H146" i="55"/>
  <c r="J259" i="55"/>
  <c r="J191" i="55"/>
  <c r="H67" i="22"/>
  <c r="I51" i="22"/>
  <c r="I67" i="22" s="1"/>
  <c r="G150" i="55"/>
  <c r="I209" i="55" s="1"/>
  <c r="I263" i="55"/>
  <c r="G92" i="55"/>
  <c r="I259" i="55"/>
  <c r="G146" i="55"/>
  <c r="I205" i="55" s="1"/>
  <c r="G44" i="55"/>
  <c r="G101" i="55" s="1"/>
  <c r="H55" i="83"/>
  <c r="H44" i="55" s="1"/>
  <c r="H101" i="55" s="1"/>
  <c r="Q38" i="22"/>
  <c r="F61" i="55"/>
  <c r="G45" i="55"/>
  <c r="G102" i="55" s="1"/>
  <c r="H56" i="83"/>
  <c r="H45" i="55" s="1"/>
  <c r="H102" i="55" s="1"/>
  <c r="J261" i="55"/>
  <c r="H148" i="55"/>
  <c r="I260" i="55"/>
  <c r="G147" i="55"/>
  <c r="I206" i="55" s="1"/>
  <c r="H269" i="55"/>
  <c r="F156" i="55"/>
  <c r="H215" i="55" s="1"/>
  <c r="F144" i="55"/>
  <c r="H203" i="55" s="1"/>
  <c r="H257" i="55"/>
  <c r="J249" i="55"/>
  <c r="H136" i="55"/>
  <c r="F154" i="55"/>
  <c r="H213" i="55" s="1"/>
  <c r="H267" i="55"/>
  <c r="G152" i="55"/>
  <c r="I211" i="55" s="1"/>
  <c r="I265" i="55"/>
  <c r="G151" i="55"/>
  <c r="I210" i="55" s="1"/>
  <c r="I264" i="55"/>
  <c r="G46" i="55"/>
  <c r="G103" i="55" s="1"/>
  <c r="H57" i="83"/>
  <c r="H46" i="55" s="1"/>
  <c r="H103" i="55" s="1"/>
  <c r="Q57" i="22"/>
  <c r="J260" i="55"/>
  <c r="H147" i="55"/>
  <c r="J206" i="55" s="1"/>
  <c r="G47" i="55"/>
  <c r="G104" i="55" s="1"/>
  <c r="H58" i="83"/>
  <c r="H47" i="55" s="1"/>
  <c r="H104" i="55" s="1"/>
  <c r="H266" i="55"/>
  <c r="F153" i="55"/>
  <c r="H212" i="55" s="1"/>
  <c r="I261" i="55"/>
  <c r="G148" i="55"/>
  <c r="I207" i="55" s="1"/>
  <c r="G49" i="22"/>
  <c r="F68" i="22"/>
  <c r="J277" i="55"/>
  <c r="H167" i="55"/>
  <c r="G50" i="55"/>
  <c r="G107" i="55" s="1"/>
  <c r="H61" i="83"/>
  <c r="H50" i="55" s="1"/>
  <c r="H107" i="55" s="1"/>
  <c r="J276" i="55"/>
  <c r="H166" i="55"/>
  <c r="F155" i="55"/>
  <c r="H214" i="55" s="1"/>
  <c r="H268" i="55"/>
  <c r="F158" i="55"/>
  <c r="H217" i="55" s="1"/>
  <c r="H271" i="55"/>
  <c r="N44" i="22"/>
  <c r="N45" i="22" s="1"/>
  <c r="J265" i="55"/>
  <c r="H152" i="55"/>
  <c r="J264" i="55"/>
  <c r="H151" i="55"/>
  <c r="G48" i="55"/>
  <c r="G105" i="55" s="1"/>
  <c r="H59" i="83"/>
  <c r="H48" i="55" s="1"/>
  <c r="H105" i="55" s="1"/>
  <c r="G294" i="55"/>
  <c r="G301" i="55" s="1"/>
  <c r="E22" i="21" s="1"/>
  <c r="E27" i="21" s="1"/>
  <c r="G282" i="55"/>
  <c r="G283" i="55"/>
  <c r="I277" i="55"/>
  <c r="G167" i="55"/>
  <c r="I226" i="55" s="1"/>
  <c r="F159" i="55"/>
  <c r="H218" i="55" s="1"/>
  <c r="H272" i="55"/>
  <c r="G166" i="55"/>
  <c r="I225" i="55" s="1"/>
  <c r="I276" i="55"/>
  <c r="F160" i="55"/>
  <c r="H219" i="55" s="1"/>
  <c r="H273" i="55"/>
  <c r="N50" i="22"/>
  <c r="N51" i="22" s="1"/>
  <c r="N65" i="22"/>
  <c r="G136" i="55"/>
  <c r="I194" i="55" s="1"/>
  <c r="I249" i="55"/>
  <c r="I178" i="55"/>
  <c r="M67" i="22"/>
  <c r="H270" i="55"/>
  <c r="F157" i="55"/>
  <c r="H216" i="55" s="1"/>
  <c r="G51" i="55"/>
  <c r="G108" i="55" s="1"/>
  <c r="H62" i="83"/>
  <c r="H51" i="55" s="1"/>
  <c r="H108" i="55" s="1"/>
  <c r="G52" i="55"/>
  <c r="G109" i="55" s="1"/>
  <c r="H63" i="83"/>
  <c r="H52" i="55" s="1"/>
  <c r="H109" i="55" s="1"/>
  <c r="G49" i="55"/>
  <c r="G106" i="55" s="1"/>
  <c r="H60" i="83"/>
  <c r="H49" i="55" s="1"/>
  <c r="H106" i="55" s="1"/>
  <c r="J178" i="55"/>
  <c r="M68" i="22"/>
  <c r="F13" i="23"/>
  <c r="E13" i="23" s="1"/>
  <c r="J211" i="55" l="1"/>
  <c r="J209" i="55"/>
  <c r="H79" i="55"/>
  <c r="D146" i="29"/>
  <c r="G85" i="72"/>
  <c r="G86" i="72"/>
  <c r="G87" i="72"/>
  <c r="G88" i="72"/>
  <c r="G84" i="72"/>
  <c r="H85" i="72"/>
  <c r="H86" i="72"/>
  <c r="J145" i="72" s="1"/>
  <c r="H87" i="72"/>
  <c r="H88" i="72"/>
  <c r="H84" i="72"/>
  <c r="D122" i="29"/>
  <c r="D134" i="29"/>
  <c r="D32" i="29"/>
  <c r="C12" i="21"/>
  <c r="D6" i="68" s="1"/>
  <c r="H166" i="72"/>
  <c r="H165" i="72"/>
  <c r="H101" i="72"/>
  <c r="H100" i="72"/>
  <c r="H99" i="72"/>
  <c r="I145" i="72"/>
  <c r="G101" i="72"/>
  <c r="G100" i="72"/>
  <c r="G99" i="72"/>
  <c r="C126" i="29"/>
  <c r="C162" i="29"/>
  <c r="C150" i="29"/>
  <c r="C36" i="29"/>
  <c r="H149" i="72"/>
  <c r="J158" i="72"/>
  <c r="I158" i="72"/>
  <c r="H33" i="55"/>
  <c r="H65" i="55" s="1"/>
  <c r="J200" i="55" s="1"/>
  <c r="G229" i="55"/>
  <c r="H30" i="61" s="1"/>
  <c r="D33" i="29"/>
  <c r="E290" i="55"/>
  <c r="E292" i="55" s="1"/>
  <c r="F40" i="61" s="1"/>
  <c r="F17" i="61"/>
  <c r="F35" i="61" s="1"/>
  <c r="F37" i="61" s="1"/>
  <c r="D9" i="21"/>
  <c r="E159" i="29" s="1"/>
  <c r="D135" i="29"/>
  <c r="D123" i="29"/>
  <c r="D147" i="29"/>
  <c r="D159" i="29"/>
  <c r="D162" i="29" s="1"/>
  <c r="J182" i="55"/>
  <c r="G13" i="61"/>
  <c r="G17" i="61" s="1"/>
  <c r="G35" i="61" s="1"/>
  <c r="G162" i="72"/>
  <c r="H14" i="61" s="1"/>
  <c r="G172" i="72" s="1"/>
  <c r="H105" i="72"/>
  <c r="H106" i="72"/>
  <c r="H104" i="72"/>
  <c r="G104" i="72"/>
  <c r="G105" i="72"/>
  <c r="G106" i="72"/>
  <c r="B16" i="21"/>
  <c r="B19" i="21" s="1"/>
  <c r="C129" i="29" s="1"/>
  <c r="C130" i="29" s="1"/>
  <c r="E41" i="61"/>
  <c r="E44" i="61" s="1"/>
  <c r="E45" i="61" s="1"/>
  <c r="C11" i="68" s="1"/>
  <c r="C27" i="68" s="1"/>
  <c r="C28" i="68" s="1"/>
  <c r="D183" i="72"/>
  <c r="D185" i="72" s="1"/>
  <c r="H151" i="72"/>
  <c r="E171" i="72"/>
  <c r="E174" i="72" s="1"/>
  <c r="F10" i="61"/>
  <c r="F12" i="72"/>
  <c r="G153" i="72"/>
  <c r="H31" i="61" s="1"/>
  <c r="H32" i="72"/>
  <c r="H35" i="72" s="1"/>
  <c r="H132" i="55"/>
  <c r="J245" i="55"/>
  <c r="G131" i="55"/>
  <c r="I189" i="55" s="1"/>
  <c r="I244" i="55"/>
  <c r="H131" i="55"/>
  <c r="J244" i="55"/>
  <c r="G30" i="61"/>
  <c r="G34" i="61" s="1"/>
  <c r="D8" i="21"/>
  <c r="H96" i="72"/>
  <c r="H95" i="72"/>
  <c r="H188" i="55"/>
  <c r="H284" i="55"/>
  <c r="G47" i="72"/>
  <c r="G32" i="72"/>
  <c r="G132" i="55"/>
  <c r="I190" i="55" s="1"/>
  <c r="I245" i="55"/>
  <c r="G33" i="55"/>
  <c r="G65" i="55" s="1"/>
  <c r="I200" i="55" s="1"/>
  <c r="H285" i="55"/>
  <c r="F65" i="55"/>
  <c r="H200" i="55" s="1"/>
  <c r="H229" i="55" s="1"/>
  <c r="I30" i="61" s="1"/>
  <c r="F10" i="55"/>
  <c r="E152" i="29"/>
  <c r="E164" i="29"/>
  <c r="E128" i="29"/>
  <c r="E23" i="68"/>
  <c r="E42" i="29"/>
  <c r="E140" i="29"/>
  <c r="J243" i="55"/>
  <c r="H130" i="55"/>
  <c r="H161" i="72"/>
  <c r="G130" i="55"/>
  <c r="I188" i="55" s="1"/>
  <c r="I243" i="55"/>
  <c r="J179" i="55"/>
  <c r="J195" i="55"/>
  <c r="G10" i="61"/>
  <c r="H7" i="61"/>
  <c r="G171" i="72" s="1"/>
  <c r="Q39" i="22"/>
  <c r="F172" i="72"/>
  <c r="F174" i="72" s="1"/>
  <c r="D16" i="21" s="1"/>
  <c r="Q40" i="22"/>
  <c r="H13" i="61"/>
  <c r="I6" i="61" s="1"/>
  <c r="N52" i="22"/>
  <c r="O49" i="22" s="1"/>
  <c r="J273" i="55"/>
  <c r="H160" i="55"/>
  <c r="G13" i="23"/>
  <c r="C14" i="23" s="1"/>
  <c r="F23" i="68"/>
  <c r="F128" i="29"/>
  <c r="F140" i="29"/>
  <c r="F152" i="29"/>
  <c r="F164" i="29"/>
  <c r="F42" i="29"/>
  <c r="N46" i="22"/>
  <c r="O43" i="22" s="1"/>
  <c r="G65" i="22"/>
  <c r="F13" i="69" s="1"/>
  <c r="F15" i="69" s="1"/>
  <c r="G52" i="22"/>
  <c r="G158" i="55"/>
  <c r="I217" i="55" s="1"/>
  <c r="I271" i="55"/>
  <c r="N67" i="22"/>
  <c r="H157" i="55"/>
  <c r="J270" i="55"/>
  <c r="G159" i="55"/>
  <c r="I218" i="55" s="1"/>
  <c r="I272" i="55"/>
  <c r="J269" i="55"/>
  <c r="H156" i="55"/>
  <c r="J268" i="55"/>
  <c r="H155" i="55"/>
  <c r="J266" i="55"/>
  <c r="H153" i="55"/>
  <c r="G61" i="55"/>
  <c r="H61" i="55"/>
  <c r="J274" i="55"/>
  <c r="H161" i="55"/>
  <c r="N66" i="22"/>
  <c r="E97" i="22" s="1"/>
  <c r="G157" i="55"/>
  <c r="I216" i="55" s="1"/>
  <c r="I270" i="55"/>
  <c r="G156" i="55"/>
  <c r="I215" i="55" s="1"/>
  <c r="I269" i="55"/>
  <c r="I268" i="55"/>
  <c r="G155" i="55"/>
  <c r="I214" i="55" s="1"/>
  <c r="J267" i="55"/>
  <c r="H154" i="55"/>
  <c r="I266" i="55"/>
  <c r="G153" i="55"/>
  <c r="I212" i="55" s="1"/>
  <c r="G144" i="55"/>
  <c r="I203" i="55" s="1"/>
  <c r="I257" i="55"/>
  <c r="J257" i="55"/>
  <c r="H144" i="55"/>
  <c r="J203" i="55" s="1"/>
  <c r="I274" i="55"/>
  <c r="G161" i="55"/>
  <c r="I220" i="55" s="1"/>
  <c r="J210" i="55"/>
  <c r="J226" i="55"/>
  <c r="J194" i="55"/>
  <c r="I267" i="55"/>
  <c r="G154" i="55"/>
  <c r="I213" i="55" s="1"/>
  <c r="J272" i="55"/>
  <c r="H159" i="55"/>
  <c r="J218" i="55" s="1"/>
  <c r="G160" i="55"/>
  <c r="I219" i="55" s="1"/>
  <c r="I273" i="55"/>
  <c r="J271" i="55"/>
  <c r="H158" i="55"/>
  <c r="J217" i="55" s="1"/>
  <c r="J207" i="55"/>
  <c r="O64" i="22"/>
  <c r="P61" i="22" s="1"/>
  <c r="J225" i="55"/>
  <c r="J205" i="55"/>
  <c r="J212" i="55" l="1"/>
  <c r="J214" i="55"/>
  <c r="J213" i="55"/>
  <c r="J219" i="55"/>
  <c r="D150" i="29"/>
  <c r="D138" i="29"/>
  <c r="D126" i="29"/>
  <c r="D36" i="29"/>
  <c r="J144" i="72"/>
  <c r="J166" i="72"/>
  <c r="J165" i="72"/>
  <c r="I144" i="72"/>
  <c r="I165" i="72"/>
  <c r="I166" i="72"/>
  <c r="C131" i="29"/>
  <c r="I149" i="72"/>
  <c r="E8" i="21"/>
  <c r="F158" i="29" s="1"/>
  <c r="H34" i="61"/>
  <c r="G10" i="55"/>
  <c r="I294" i="55" s="1"/>
  <c r="I301" i="55" s="1"/>
  <c r="G22" i="21" s="1"/>
  <c r="G27" i="21" s="1"/>
  <c r="H10" i="55"/>
  <c r="J282" i="55" s="1"/>
  <c r="J149" i="72"/>
  <c r="E33" i="29"/>
  <c r="E147" i="29"/>
  <c r="E123" i="29"/>
  <c r="C15" i="21"/>
  <c r="E302" i="55"/>
  <c r="E305" i="55" s="1"/>
  <c r="D12" i="21"/>
  <c r="E6" i="68" s="1"/>
  <c r="E135" i="29"/>
  <c r="C153" i="29"/>
  <c r="C154" i="29" s="1"/>
  <c r="C155" i="29" s="1"/>
  <c r="I285" i="55"/>
  <c r="C22" i="68"/>
  <c r="C141" i="29"/>
  <c r="C142" i="29" s="1"/>
  <c r="C143" i="29" s="1"/>
  <c r="B29" i="21"/>
  <c r="G37" i="61"/>
  <c r="F8" i="21"/>
  <c r="G134" i="29" s="1"/>
  <c r="J285" i="55"/>
  <c r="J189" i="55"/>
  <c r="H6" i="61"/>
  <c r="G289" i="55" s="1"/>
  <c r="F290" i="55"/>
  <c r="F292" i="55" s="1"/>
  <c r="G40" i="61" s="1"/>
  <c r="C38" i="29"/>
  <c r="C40" i="29" s="1"/>
  <c r="C44" i="29" s="1"/>
  <c r="E9" i="21"/>
  <c r="F123" i="29" s="1"/>
  <c r="C165" i="29"/>
  <c r="C166" i="29" s="1"/>
  <c r="C167" i="29" s="1"/>
  <c r="J161" i="72"/>
  <c r="E46" i="61"/>
  <c r="D11" i="62" s="1"/>
  <c r="H12" i="72"/>
  <c r="J162" i="72" s="1"/>
  <c r="H153" i="72"/>
  <c r="I31" i="61" s="1"/>
  <c r="I34" i="61" s="1"/>
  <c r="I7" i="61"/>
  <c r="H171" i="72" s="1"/>
  <c r="C16" i="21"/>
  <c r="F41" i="61"/>
  <c r="F44" i="61" s="1"/>
  <c r="F45" i="61" s="1"/>
  <c r="D11" i="68" s="1"/>
  <c r="D27" i="68" s="1"/>
  <c r="D28" i="68" s="1"/>
  <c r="E183" i="72"/>
  <c r="E185" i="72" s="1"/>
  <c r="G174" i="72"/>
  <c r="H41" i="61" s="1"/>
  <c r="H163" i="72"/>
  <c r="H162" i="72"/>
  <c r="G35" i="72"/>
  <c r="I161" i="72"/>
  <c r="G12" i="72"/>
  <c r="G95" i="72"/>
  <c r="G96" i="72"/>
  <c r="E158" i="29"/>
  <c r="E162" i="29" s="1"/>
  <c r="E122" i="29"/>
  <c r="E134" i="29"/>
  <c r="E146" i="29"/>
  <c r="E32" i="29"/>
  <c r="I284" i="55"/>
  <c r="J188" i="55"/>
  <c r="H294" i="55"/>
  <c r="H301" i="55" s="1"/>
  <c r="F22" i="21" s="1"/>
  <c r="F27" i="21" s="1"/>
  <c r="H282" i="55"/>
  <c r="H283" i="55"/>
  <c r="J284" i="55"/>
  <c r="J190" i="55"/>
  <c r="I229" i="55"/>
  <c r="J30" i="61" s="1"/>
  <c r="G41" i="61"/>
  <c r="F183" i="72"/>
  <c r="F185" i="72" s="1"/>
  <c r="H17" i="61"/>
  <c r="H35" i="61" s="1"/>
  <c r="G290" i="55"/>
  <c r="N68" i="22"/>
  <c r="P62" i="22"/>
  <c r="P63" i="22" s="1"/>
  <c r="O65" i="22"/>
  <c r="O50" i="22"/>
  <c r="O52" i="22" s="1"/>
  <c r="J220" i="55"/>
  <c r="J215" i="55"/>
  <c r="J216" i="55"/>
  <c r="O44" i="22"/>
  <c r="O45" i="22" s="1"/>
  <c r="D14" i="23"/>
  <c r="J151" i="72"/>
  <c r="J164" i="72"/>
  <c r="H49" i="22"/>
  <c r="G68" i="22"/>
  <c r="H289" i="55"/>
  <c r="D12" i="62" l="1"/>
  <c r="D22" i="29"/>
  <c r="F146" i="29"/>
  <c r="F134" i="29"/>
  <c r="I282" i="55"/>
  <c r="E138" i="29"/>
  <c r="F32" i="29"/>
  <c r="H37" i="61"/>
  <c r="E150" i="29"/>
  <c r="C19" i="21"/>
  <c r="D141" i="29" s="1"/>
  <c r="D142" i="29" s="1"/>
  <c r="D143" i="29" s="1"/>
  <c r="F122" i="29"/>
  <c r="F126" i="29" s="1"/>
  <c r="I283" i="55"/>
  <c r="J294" i="55"/>
  <c r="J301" i="55" s="1"/>
  <c r="H22" i="21" s="1"/>
  <c r="H27" i="21" s="1"/>
  <c r="I42" i="29" s="1"/>
  <c r="B31" i="21"/>
  <c r="B36" i="21" s="1"/>
  <c r="J283" i="55"/>
  <c r="K13" i="61" s="1"/>
  <c r="J290" i="55" s="1"/>
  <c r="E36" i="29"/>
  <c r="E126" i="29"/>
  <c r="G292" i="55"/>
  <c r="H40" i="61" s="1"/>
  <c r="H44" i="61" s="1"/>
  <c r="G44" i="61"/>
  <c r="G45" i="61" s="1"/>
  <c r="E11" i="68" s="1"/>
  <c r="E27" i="68" s="1"/>
  <c r="E28" i="68" s="1"/>
  <c r="F302" i="55"/>
  <c r="F305" i="55" s="1"/>
  <c r="G158" i="29"/>
  <c r="G122" i="29"/>
  <c r="G32" i="29"/>
  <c r="G146" i="29"/>
  <c r="G8" i="21"/>
  <c r="H134" i="29" s="1"/>
  <c r="F159" i="29"/>
  <c r="F162" i="29" s="1"/>
  <c r="D15" i="21"/>
  <c r="D19" i="21" s="1"/>
  <c r="E165" i="29" s="1"/>
  <c r="E166" i="29" s="1"/>
  <c r="E167" i="29" s="1"/>
  <c r="F33" i="29"/>
  <c r="F147" i="29"/>
  <c r="E12" i="21"/>
  <c r="F6" i="68" s="1"/>
  <c r="H10" i="61"/>
  <c r="F135" i="29"/>
  <c r="F138" i="29" s="1"/>
  <c r="J163" i="72"/>
  <c r="K14" i="61" s="1"/>
  <c r="J172" i="72" s="1"/>
  <c r="E16" i="21"/>
  <c r="D12" i="68"/>
  <c r="G183" i="72"/>
  <c r="G185" i="72" s="1"/>
  <c r="F9" i="21"/>
  <c r="F12" i="21" s="1"/>
  <c r="G6" i="68" s="1"/>
  <c r="I10" i="61"/>
  <c r="I14" i="61"/>
  <c r="H172" i="72" s="1"/>
  <c r="H174" i="72" s="1"/>
  <c r="H183" i="72" s="1"/>
  <c r="H185" i="72" s="1"/>
  <c r="G164" i="29"/>
  <c r="G128" i="29"/>
  <c r="G42" i="29"/>
  <c r="G140" i="29"/>
  <c r="G152" i="29"/>
  <c r="G23" i="68"/>
  <c r="I163" i="72"/>
  <c r="I162" i="72"/>
  <c r="I164" i="72"/>
  <c r="I151" i="72"/>
  <c r="J229" i="55"/>
  <c r="K30" i="61" s="1"/>
  <c r="J153" i="72"/>
  <c r="I13" i="61"/>
  <c r="O46" i="22"/>
  <c r="P43" i="22" s="1"/>
  <c r="P44" i="22" s="1"/>
  <c r="P45" i="22" s="1"/>
  <c r="C15" i="29"/>
  <c r="C80" i="29"/>
  <c r="C68" i="29"/>
  <c r="C91" i="29"/>
  <c r="O66" i="22"/>
  <c r="F97" i="22" s="1"/>
  <c r="O51" i="22"/>
  <c r="F14" i="23"/>
  <c r="E14" i="23" s="1"/>
  <c r="P64" i="22"/>
  <c r="Q61" i="22" s="1"/>
  <c r="P49" i="22"/>
  <c r="H140" i="29"/>
  <c r="H164" i="29"/>
  <c r="H23" i="68"/>
  <c r="H152" i="29"/>
  <c r="H128" i="29"/>
  <c r="H42" i="29"/>
  <c r="H65" i="22"/>
  <c r="G13" i="69" s="1"/>
  <c r="G15" i="69" s="1"/>
  <c r="H52" i="22"/>
  <c r="E21" i="62" l="1"/>
  <c r="H45" i="61"/>
  <c r="F11" i="68" s="1"/>
  <c r="F27" i="68" s="1"/>
  <c r="F28" i="68" s="1"/>
  <c r="F36" i="29"/>
  <c r="C106" i="29"/>
  <c r="F150" i="29"/>
  <c r="D165" i="29"/>
  <c r="D166" i="29" s="1"/>
  <c r="D167" i="29" s="1"/>
  <c r="J13" i="61"/>
  <c r="K6" i="61" s="1"/>
  <c r="J289" i="55" s="1"/>
  <c r="J292" i="55" s="1"/>
  <c r="D129" i="29"/>
  <c r="D130" i="29" s="1"/>
  <c r="D131" i="29" s="1"/>
  <c r="D22" i="68"/>
  <c r="D38" i="29"/>
  <c r="D40" i="29" s="1"/>
  <c r="D44" i="29" s="1"/>
  <c r="C29" i="21"/>
  <c r="C31" i="21" s="1"/>
  <c r="C36" i="21" s="1"/>
  <c r="D153" i="29"/>
  <c r="D154" i="29" s="1"/>
  <c r="D155" i="29" s="1"/>
  <c r="I164" i="29"/>
  <c r="I152" i="29"/>
  <c r="I23" i="68"/>
  <c r="I128" i="29"/>
  <c r="I140" i="29"/>
  <c r="E15" i="21"/>
  <c r="E19" i="21" s="1"/>
  <c r="F165" i="29" s="1"/>
  <c r="F166" i="29" s="1"/>
  <c r="F167" i="29" s="1"/>
  <c r="G302" i="55"/>
  <c r="G305" i="55" s="1"/>
  <c r="H122" i="29"/>
  <c r="H146" i="29"/>
  <c r="H158" i="29"/>
  <c r="H32" i="29"/>
  <c r="E141" i="29"/>
  <c r="E142" i="29" s="1"/>
  <c r="E143" i="29" s="1"/>
  <c r="E153" i="29"/>
  <c r="E154" i="29" s="1"/>
  <c r="E155" i="29" s="1"/>
  <c r="E129" i="29"/>
  <c r="E130" i="29" s="1"/>
  <c r="E131" i="29" s="1"/>
  <c r="E22" i="68"/>
  <c r="E38" i="29"/>
  <c r="E40" i="29" s="1"/>
  <c r="E44" i="29" s="1"/>
  <c r="D29" i="21"/>
  <c r="D31" i="21" s="1"/>
  <c r="D36" i="21" s="1"/>
  <c r="E12" i="68"/>
  <c r="J7" i="61"/>
  <c r="I171" i="72" s="1"/>
  <c r="G123" i="29"/>
  <c r="G126" i="29" s="1"/>
  <c r="G147" i="29"/>
  <c r="G150" i="29" s="1"/>
  <c r="G135" i="29"/>
  <c r="G138" i="29" s="1"/>
  <c r="G33" i="29"/>
  <c r="G36" i="29" s="1"/>
  <c r="G159" i="29"/>
  <c r="G162" i="29" s="1"/>
  <c r="I41" i="61"/>
  <c r="F16" i="21"/>
  <c r="J14" i="61"/>
  <c r="K7" i="61" s="1"/>
  <c r="J171" i="72" s="1"/>
  <c r="J174" i="72" s="1"/>
  <c r="K41" i="61" s="1"/>
  <c r="K31" i="61"/>
  <c r="K34" i="61" s="1"/>
  <c r="H9" i="21"/>
  <c r="I123" i="29" s="1"/>
  <c r="I153" i="72"/>
  <c r="G9" i="21" s="1"/>
  <c r="H8" i="21"/>
  <c r="I122" i="29" s="1"/>
  <c r="J6" i="61"/>
  <c r="I17" i="61"/>
  <c r="I35" i="61" s="1"/>
  <c r="I37" i="61" s="1"/>
  <c r="H290" i="55"/>
  <c r="H292" i="55" s="1"/>
  <c r="I40" i="61" s="1"/>
  <c r="K17" i="61"/>
  <c r="K35" i="61" s="1"/>
  <c r="O68" i="22"/>
  <c r="P46" i="22"/>
  <c r="Q43" i="22" s="1"/>
  <c r="Q44" i="22" s="1"/>
  <c r="Q62" i="22"/>
  <c r="Q63" i="22" s="1"/>
  <c r="C7" i="68"/>
  <c r="C12" i="68" s="1"/>
  <c r="B33" i="69"/>
  <c r="E22" i="62"/>
  <c r="I49" i="22"/>
  <c r="H68" i="22"/>
  <c r="G14" i="23"/>
  <c r="C15" i="23" s="1"/>
  <c r="O67" i="22"/>
  <c r="P65" i="22"/>
  <c r="P50" i="22"/>
  <c r="P66" i="22" s="1"/>
  <c r="G97" i="22" s="1"/>
  <c r="F12" i="68" l="1"/>
  <c r="I290" i="55"/>
  <c r="D106" i="29"/>
  <c r="H302" i="55"/>
  <c r="H305" i="55" s="1"/>
  <c r="F22" i="68"/>
  <c r="F141" i="29"/>
  <c r="F142" i="29" s="1"/>
  <c r="F143" i="29" s="1"/>
  <c r="E106" i="29"/>
  <c r="F153" i="29"/>
  <c r="F154" i="29" s="1"/>
  <c r="F155" i="29" s="1"/>
  <c r="F38" i="29"/>
  <c r="F40" i="29" s="1"/>
  <c r="F44" i="29" s="1"/>
  <c r="E29" i="21"/>
  <c r="E31" i="21" s="1"/>
  <c r="F106" i="29" s="1"/>
  <c r="F129" i="29"/>
  <c r="F130" i="29" s="1"/>
  <c r="F131" i="29" s="1"/>
  <c r="I146" i="29"/>
  <c r="I32" i="29"/>
  <c r="I158" i="29"/>
  <c r="I134" i="29"/>
  <c r="J31" i="61"/>
  <c r="J34" i="61" s="1"/>
  <c r="I147" i="29"/>
  <c r="H12" i="21"/>
  <c r="I6" i="68" s="1"/>
  <c r="I172" i="72"/>
  <c r="I174" i="72" s="1"/>
  <c r="J41" i="61" s="1"/>
  <c r="I135" i="29"/>
  <c r="I159" i="29"/>
  <c r="J17" i="61"/>
  <c r="J35" i="61" s="1"/>
  <c r="I44" i="61"/>
  <c r="I45" i="61" s="1"/>
  <c r="G11" i="68" s="1"/>
  <c r="G27" i="68" s="1"/>
  <c r="G28" i="68" s="1"/>
  <c r="I33" i="29"/>
  <c r="F15" i="21"/>
  <c r="F19" i="21" s="1"/>
  <c r="G129" i="29" s="1"/>
  <c r="G130" i="29" s="1"/>
  <c r="G131" i="29" s="1"/>
  <c r="I289" i="55"/>
  <c r="I292" i="55" s="1"/>
  <c r="J40" i="61" s="1"/>
  <c r="J10" i="61"/>
  <c r="K10" i="61"/>
  <c r="H159" i="29"/>
  <c r="H162" i="29" s="1"/>
  <c r="H123" i="29"/>
  <c r="H126" i="29" s="1"/>
  <c r="H33" i="29"/>
  <c r="H36" i="29" s="1"/>
  <c r="H147" i="29"/>
  <c r="H150" i="29" s="1"/>
  <c r="G12" i="21"/>
  <c r="H6" i="68" s="1"/>
  <c r="H135" i="29"/>
  <c r="H138" i="29" s="1"/>
  <c r="I126" i="29"/>
  <c r="J183" i="72"/>
  <c r="J185" i="72" s="1"/>
  <c r="H16" i="21"/>
  <c r="P52" i="22"/>
  <c r="Q49" i="22" s="1"/>
  <c r="K37" i="61"/>
  <c r="Q46" i="22"/>
  <c r="Q45" i="22"/>
  <c r="D15" i="23"/>
  <c r="K40" i="61"/>
  <c r="K44" i="61" s="1"/>
  <c r="H15" i="21"/>
  <c r="J302" i="55"/>
  <c r="J305" i="55" s="1"/>
  <c r="I52" i="22"/>
  <c r="I68" i="22" s="1"/>
  <c r="I65" i="22"/>
  <c r="H13" i="69" s="1"/>
  <c r="H15" i="69" s="1"/>
  <c r="Q64" i="22"/>
  <c r="P51" i="22"/>
  <c r="C33" i="69"/>
  <c r="P68" i="22" l="1"/>
  <c r="I36" i="29"/>
  <c r="I150" i="29"/>
  <c r="I162" i="29"/>
  <c r="E36" i="21"/>
  <c r="I138" i="29"/>
  <c r="J37" i="61"/>
  <c r="I183" i="72"/>
  <c r="I185" i="72" s="1"/>
  <c r="J44" i="61"/>
  <c r="G16" i="21"/>
  <c r="F29" i="21"/>
  <c r="F31" i="21" s="1"/>
  <c r="G106" i="29" s="1"/>
  <c r="G153" i="29"/>
  <c r="G154" i="29" s="1"/>
  <c r="G155" i="29" s="1"/>
  <c r="G141" i="29"/>
  <c r="G142" i="29" s="1"/>
  <c r="G143" i="29" s="1"/>
  <c r="G22" i="68"/>
  <c r="G165" i="29"/>
  <c r="G166" i="29" s="1"/>
  <c r="G167" i="29" s="1"/>
  <c r="G38" i="29"/>
  <c r="G40" i="29" s="1"/>
  <c r="G44" i="29" s="1"/>
  <c r="G12" i="68"/>
  <c r="G15" i="21"/>
  <c r="I302" i="55"/>
  <c r="I305" i="55" s="1"/>
  <c r="K45" i="61"/>
  <c r="I11" i="68" s="1"/>
  <c r="I27" i="68" s="1"/>
  <c r="I28" i="68" s="1"/>
  <c r="H19" i="21"/>
  <c r="I22" i="68" s="1"/>
  <c r="F15" i="23"/>
  <c r="E15" i="23" s="1"/>
  <c r="G15" i="23" s="1"/>
  <c r="C16" i="23" s="1"/>
  <c r="D33" i="69"/>
  <c r="Q50" i="22"/>
  <c r="Q66" i="22" s="1"/>
  <c r="H97" i="22" s="1"/>
  <c r="Q65" i="22"/>
  <c r="P67" i="22"/>
  <c r="G19" i="21" l="1"/>
  <c r="H165" i="29" s="1"/>
  <c r="H166" i="29" s="1"/>
  <c r="H167" i="29" s="1"/>
  <c r="J45" i="61"/>
  <c r="H11" i="68" s="1"/>
  <c r="H27" i="68" s="1"/>
  <c r="H28" i="68" s="1"/>
  <c r="F36" i="21"/>
  <c r="H29" i="21"/>
  <c r="H31" i="21" s="1"/>
  <c r="H36" i="21" s="1"/>
  <c r="I165" i="29"/>
  <c r="I166" i="29" s="1"/>
  <c r="I167" i="29" s="1"/>
  <c r="I153" i="29"/>
  <c r="I154" i="29" s="1"/>
  <c r="I155" i="29" s="1"/>
  <c r="I38" i="29"/>
  <c r="I40" i="29" s="1"/>
  <c r="I44" i="29" s="1"/>
  <c r="I129" i="29"/>
  <c r="I130" i="29" s="1"/>
  <c r="I131" i="29" s="1"/>
  <c r="I12" i="68"/>
  <c r="I141" i="29"/>
  <c r="I142" i="29" s="1"/>
  <c r="I143" i="29" s="1"/>
  <c r="Q52" i="22"/>
  <c r="Q68" i="22" s="1"/>
  <c r="D16" i="23"/>
  <c r="E16" i="23" s="1"/>
  <c r="G16" i="23" s="1"/>
  <c r="C17" i="23" s="1"/>
  <c r="E33" i="69"/>
  <c r="Q51" i="22"/>
  <c r="Q67" i="22" s="1"/>
  <c r="H153" i="29" l="1"/>
  <c r="H154" i="29" s="1"/>
  <c r="H155" i="29" s="1"/>
  <c r="H12" i="68"/>
  <c r="H129" i="29"/>
  <c r="H130" i="29" s="1"/>
  <c r="H131" i="29" s="1"/>
  <c r="H141" i="29"/>
  <c r="H142" i="29" s="1"/>
  <c r="H143" i="29" s="1"/>
  <c r="G29" i="21"/>
  <c r="G31" i="21" s="1"/>
  <c r="G36" i="21" s="1"/>
  <c r="H38" i="29"/>
  <c r="H40" i="29" s="1"/>
  <c r="H44" i="29" s="1"/>
  <c r="H22" i="68"/>
  <c r="I106" i="29"/>
  <c r="D17" i="23"/>
  <c r="E17" i="23" s="1"/>
  <c r="G17" i="23" s="1"/>
  <c r="C18" i="23" s="1"/>
  <c r="F33" i="69"/>
  <c r="C46" i="29" l="1"/>
  <c r="D28" i="62" s="1"/>
  <c r="H106" i="29"/>
  <c r="D18" i="23"/>
  <c r="E18" i="23" s="1"/>
  <c r="G18" i="23" s="1"/>
  <c r="C19" i="23" s="1"/>
  <c r="G33" i="69"/>
  <c r="H33" i="69" l="1"/>
  <c r="D19" i="23"/>
  <c r="E19" i="23" s="1"/>
  <c r="G19" i="23" s="1"/>
  <c r="C20" i="23" s="1"/>
  <c r="D20" i="23" l="1"/>
  <c r="E20" i="23" s="1"/>
  <c r="G20" i="23" s="1"/>
  <c r="C21" i="23" s="1"/>
  <c r="D21" i="23" l="1"/>
  <c r="E21" i="23" l="1"/>
  <c r="C26" i="68"/>
  <c r="C109" i="29" l="1"/>
  <c r="C110" i="29" s="1"/>
  <c r="B38" i="21"/>
  <c r="B40" i="21" s="1"/>
  <c r="C25" i="68"/>
  <c r="C112" i="29" s="1"/>
  <c r="G21" i="23"/>
  <c r="C114" i="29" l="1"/>
  <c r="C22" i="23"/>
  <c r="B28" i="69"/>
  <c r="B31" i="69" s="1"/>
  <c r="B95" i="22"/>
  <c r="B98" i="22" s="1"/>
  <c r="B99" i="22" s="1"/>
  <c r="B41" i="21" s="1"/>
  <c r="C29" i="68" s="1"/>
  <c r="C30" i="68" s="1"/>
  <c r="C31" i="68" s="1"/>
  <c r="C33" i="68" s="1"/>
  <c r="B8" i="69" l="1"/>
  <c r="B11" i="69" s="1"/>
  <c r="B20" i="69" s="1"/>
  <c r="D32" i="68"/>
  <c r="B42" i="21"/>
  <c r="B44" i="21" s="1"/>
  <c r="D22" i="23"/>
  <c r="E22" i="23" l="1"/>
  <c r="C77" i="29"/>
  <c r="D9" i="29"/>
  <c r="D14" i="29" s="1"/>
  <c r="D92" i="29"/>
  <c r="D95" i="29" s="1"/>
  <c r="D96" i="29" s="1"/>
  <c r="C55" i="29"/>
  <c r="C60" i="29" s="1"/>
  <c r="C64" i="29" s="1"/>
  <c r="G22" i="23" l="1"/>
  <c r="C23" i="23" s="1"/>
  <c r="D15" i="29"/>
  <c r="B37" i="69"/>
  <c r="B39" i="69" s="1"/>
  <c r="D23" i="23" l="1"/>
  <c r="C36" i="69"/>
  <c r="B41" i="69"/>
  <c r="B43" i="69" s="1"/>
  <c r="B46" i="69" s="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38" i="21" l="1"/>
  <c r="C40" i="21" s="1"/>
  <c r="D109" i="29"/>
  <c r="D110" i="29" s="1"/>
  <c r="D25" i="68"/>
  <c r="G33" i="23"/>
  <c r="D112" i="29" l="1"/>
  <c r="D114" i="29" s="1"/>
  <c r="C28" i="69"/>
  <c r="C31" i="69" s="1"/>
  <c r="C34" i="23"/>
  <c r="C95" i="22"/>
  <c r="C98" i="22" s="1"/>
  <c r="C99" i="22" s="1"/>
  <c r="C41" i="21" s="1"/>
  <c r="D29" i="68" s="1"/>
  <c r="D30" i="68" s="1"/>
  <c r="D31" i="68" s="1"/>
  <c r="D33" i="68" s="1"/>
  <c r="C8" i="69" l="1"/>
  <c r="C11" i="69" s="1"/>
  <c r="C20" i="69" s="1"/>
  <c r="E32" i="68"/>
  <c r="C42" i="21"/>
  <c r="D34" i="23"/>
  <c r="E34" i="23" l="1"/>
  <c r="C37" i="69"/>
  <c r="C39" i="69" s="1"/>
  <c r="E9" i="29"/>
  <c r="E14" i="29" s="1"/>
  <c r="E92" i="29"/>
  <c r="E95" i="29" s="1"/>
  <c r="E96" i="29" s="1"/>
  <c r="D55" i="29"/>
  <c r="D60" i="29" s="1"/>
  <c r="D64" i="29" s="1"/>
  <c r="D77" i="29"/>
  <c r="C44" i="21"/>
  <c r="E15" i="29" l="1"/>
  <c r="D36" i="69"/>
  <c r="C41" i="69"/>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09" i="29" l="1"/>
  <c r="E110" i="29" s="1"/>
  <c r="D38" i="21"/>
  <c r="D40" i="21" s="1"/>
  <c r="E25" i="68"/>
  <c r="G45" i="23"/>
  <c r="E112" i="29" l="1"/>
  <c r="E114" i="29" s="1"/>
  <c r="D95" i="22"/>
  <c r="D98" i="22" s="1"/>
  <c r="D99" i="22" s="1"/>
  <c r="D41" i="21" s="1"/>
  <c r="E29" i="68" s="1"/>
  <c r="E30" i="68" s="1"/>
  <c r="E31" i="68" s="1"/>
  <c r="E33" i="68" s="1"/>
  <c r="C46" i="23"/>
  <c r="D28" i="69"/>
  <c r="D31" i="69" s="1"/>
  <c r="D8" i="69" l="1"/>
  <c r="D11" i="69" s="1"/>
  <c r="D20" i="69" s="1"/>
  <c r="F32" i="68"/>
  <c r="D46" i="23"/>
  <c r="D42" i="21"/>
  <c r="D37" i="69" l="1"/>
  <c r="D39" i="69" s="1"/>
  <c r="F9" i="29"/>
  <c r="F14" i="29" s="1"/>
  <c r="F92" i="29"/>
  <c r="F95" i="29" s="1"/>
  <c r="F96" i="29" s="1"/>
  <c r="E55" i="29"/>
  <c r="E60" i="29" s="1"/>
  <c r="E64" i="29" s="1"/>
  <c r="E77" i="29"/>
  <c r="D44" i="21"/>
  <c r="E46" i="23"/>
  <c r="G46" i="23" l="1"/>
  <c r="C47" i="23" s="1"/>
  <c r="F15" i="29"/>
  <c r="E36" i="69"/>
  <c r="D41" i="69"/>
  <c r="D43" i="69" s="1"/>
  <c r="D46" i="69"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38" i="21" l="1"/>
  <c r="E40" i="21" s="1"/>
  <c r="F109" i="29"/>
  <c r="F110" i="29" s="1"/>
  <c r="F25" i="68"/>
  <c r="G57" i="23"/>
  <c r="E28" i="69" l="1"/>
  <c r="E31" i="69" s="1"/>
  <c r="C58" i="23"/>
  <c r="F112" i="29"/>
  <c r="F114" i="29" s="1"/>
  <c r="E95" i="22"/>
  <c r="E98" i="22" s="1"/>
  <c r="E99" i="22" s="1"/>
  <c r="E41" i="21" s="1"/>
  <c r="F29" i="68" s="1"/>
  <c r="F30" i="68" s="1"/>
  <c r="F31" i="68" s="1"/>
  <c r="F33" i="68" s="1"/>
  <c r="G32" i="68" l="1"/>
  <c r="E8" i="69"/>
  <c r="E11" i="69" s="1"/>
  <c r="E20" i="69" s="1"/>
  <c r="E42" i="21"/>
  <c r="D58" i="23"/>
  <c r="G92" i="29" l="1"/>
  <c r="G95" i="29" s="1"/>
  <c r="G96" i="29" s="1"/>
  <c r="F55" i="29"/>
  <c r="F60" i="29" s="1"/>
  <c r="F64" i="29" s="1"/>
  <c r="E37" i="69"/>
  <c r="E39" i="69" s="1"/>
  <c r="G9" i="29"/>
  <c r="G14" i="29" s="1"/>
  <c r="F77" i="29"/>
  <c r="E44" i="21"/>
  <c r="E58" i="23"/>
  <c r="G58" i="23" l="1"/>
  <c r="C59" i="23" s="1"/>
  <c r="F36" i="69"/>
  <c r="E41" i="69"/>
  <c r="E43" i="69" s="1"/>
  <c r="E46" i="69" s="1"/>
  <c r="G15" i="29"/>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109" i="29" l="1"/>
  <c r="G110" i="29" s="1"/>
  <c r="F38" i="21"/>
  <c r="F40" i="21" s="1"/>
  <c r="G25" i="68"/>
  <c r="G69" i="23"/>
  <c r="G112" i="29" l="1"/>
  <c r="F95" i="22"/>
  <c r="F98" i="22" s="1"/>
  <c r="F99" i="22" s="1"/>
  <c r="F41" i="21" s="1"/>
  <c r="G29" i="68" s="1"/>
  <c r="G30" i="68" s="1"/>
  <c r="G31" i="68" s="1"/>
  <c r="G33" i="68" s="1"/>
  <c r="F28" i="69"/>
  <c r="F31" i="69" s="1"/>
  <c r="C70" i="23"/>
  <c r="G114" i="29"/>
  <c r="H32" i="68" l="1"/>
  <c r="F8" i="69"/>
  <c r="F11" i="69" s="1"/>
  <c r="F20" i="69" s="1"/>
  <c r="D70" i="23"/>
  <c r="F42" i="21"/>
  <c r="E70" i="23" l="1"/>
  <c r="F37" i="69"/>
  <c r="F39" i="69" s="1"/>
  <c r="G77" i="29"/>
  <c r="H9" i="29"/>
  <c r="H14" i="29" s="1"/>
  <c r="H92" i="29"/>
  <c r="H95" i="29" s="1"/>
  <c r="D98" i="29" s="1"/>
  <c r="G55" i="29"/>
  <c r="G60" i="29" s="1"/>
  <c r="G64" i="29" s="1"/>
  <c r="F44" i="21"/>
  <c r="G36" i="69" l="1"/>
  <c r="F41" i="69"/>
  <c r="F43" i="69" s="1"/>
  <c r="F46" i="69" s="1"/>
  <c r="D32" i="62"/>
  <c r="H96" i="29"/>
  <c r="H15" i="29"/>
  <c r="G70" i="23"/>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38" i="21" l="1"/>
  <c r="G40" i="21" s="1"/>
  <c r="H109" i="29"/>
  <c r="H110" i="29" s="1"/>
  <c r="H25" i="68"/>
  <c r="G81" i="23"/>
  <c r="G28" i="69" l="1"/>
  <c r="G31" i="69" s="1"/>
  <c r="C82" i="23"/>
  <c r="H112" i="29"/>
  <c r="H114" i="29" s="1"/>
  <c r="G95" i="22"/>
  <c r="G98" i="22" s="1"/>
  <c r="G99" i="22" s="1"/>
  <c r="G41" i="21" s="1"/>
  <c r="H29" i="68" s="1"/>
  <c r="H30" i="68" s="1"/>
  <c r="H31" i="68" s="1"/>
  <c r="H33" i="68" s="1"/>
  <c r="I32" i="68" l="1"/>
  <c r="G8" i="69"/>
  <c r="G11" i="69" s="1"/>
  <c r="G20" i="69" s="1"/>
  <c r="G42" i="21"/>
  <c r="D82" i="23"/>
  <c r="E82" i="23" l="1"/>
  <c r="H77" i="29"/>
  <c r="I92" i="29"/>
  <c r="I95" i="29" s="1"/>
  <c r="I9" i="29"/>
  <c r="I14" i="29" s="1"/>
  <c r="H55" i="29"/>
  <c r="H60" i="29" s="1"/>
  <c r="H64" i="29" s="1"/>
  <c r="G37" i="69"/>
  <c r="G39" i="69" s="1"/>
  <c r="G44" i="21"/>
  <c r="H36" i="69" l="1"/>
  <c r="G41" i="69"/>
  <c r="G43" i="69" s="1"/>
  <c r="G46" i="69" s="1"/>
  <c r="I15" i="29"/>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09" i="29" l="1"/>
  <c r="I110" i="29" s="1"/>
  <c r="H38" i="21"/>
  <c r="H40" i="21" s="1"/>
  <c r="E94" i="23"/>
  <c r="I25" i="68"/>
  <c r="G93" i="23"/>
  <c r="I112" i="29" l="1"/>
  <c r="I114" i="29" s="1"/>
  <c r="C116" i="29" s="1"/>
  <c r="D33" i="62" s="1"/>
  <c r="H95" i="22"/>
  <c r="H98" i="22" s="1"/>
  <c r="H99" i="22" s="1"/>
  <c r="H41" i="21" s="1"/>
  <c r="I29" i="68" s="1"/>
  <c r="I30" i="68" s="1"/>
  <c r="I31" i="68" s="1"/>
  <c r="I33" i="68" s="1"/>
  <c r="H8" i="69" s="1"/>
  <c r="H11" i="69" s="1"/>
  <c r="H20" i="69" s="1"/>
  <c r="H42" i="21" l="1"/>
  <c r="I55" i="29" l="1"/>
  <c r="I60" i="29" s="1"/>
  <c r="I64" i="29" s="1"/>
  <c r="C66" i="29" s="1"/>
  <c r="I77" i="29"/>
  <c r="C79" i="29" s="1"/>
  <c r="H37" i="69"/>
  <c r="H39" i="69" s="1"/>
  <c r="H41" i="69" s="1"/>
  <c r="H43" i="69" s="1"/>
  <c r="H46" i="69" s="1"/>
  <c r="J92" i="29"/>
  <c r="J95" i="29" s="1"/>
  <c r="J9" i="29"/>
  <c r="J14" i="29" s="1"/>
  <c r="H44" i="21"/>
  <c r="C82" i="29" l="1"/>
  <c r="D29" i="62" s="1"/>
  <c r="C70" i="29"/>
  <c r="D31" i="62" s="1"/>
  <c r="J15" i="29"/>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<sst xmlns="http://schemas.openxmlformats.org/spreadsheetml/2006/main" count="1235" uniqueCount="676">
  <si>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</si>
  <si>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</si>
  <si>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</si>
  <si>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</si>
  <si>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</si>
  <si>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</si>
  <si>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</si>
  <si>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</si>
  <si>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</si>
  <si>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</si>
  <si>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</si>
  <si>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</si>
  <si>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</si>
  <si>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</si>
  <si>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</si>
  <si>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</si>
  <si>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</si>
  <si>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</si>
  <si>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</si>
  <si>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</si>
  <si>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</si>
  <si>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</si>
  <si>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</si>
  <si>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</si>
  <si>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</si>
  <si>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</si>
  <si>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</si>
  <si>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</si>
  <si>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</si>
  <si>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</si>
  <si>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</si>
  <si>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</si>
  <si>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</si>
  <si>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</si>
  <si>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</si>
  <si>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</si>
  <si>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</si>
  <si>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</si>
  <si>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</si>
  <si>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</si>
  <si>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</si>
  <si>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</si>
  <si>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</si>
  <si>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</si>
  <si>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</si>
  <si>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</si>
  <si>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</si>
  <si>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</si>
  <si>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</si>
  <si>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</si>
  <si>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</si>
  <si>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</si>
  <si>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</si>
  <si>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</si>
  <si>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</si>
  <si>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</si>
  <si>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</si>
  <si>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</si>
  <si>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</si>
  <si>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</si>
  <si>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</si>
  <si>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</si>
  <si>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</si>
  <si>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</si>
  <si>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</si>
  <si>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</si>
  <si>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</si>
  <si>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</si>
  <si>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</si>
  <si>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</si>
  <si>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</si>
  <si>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</si>
  <si>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</si>
  <si>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</si>
  <si>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</si>
  <si>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</si>
  <si>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</si>
  <si>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</si>
  <si>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</si>
  <si>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</si>
  <si>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</si>
  <si>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</si>
  <si>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</si>
  <si>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</si>
  <si>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</si>
  <si>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</si>
  <si>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</si>
  <si>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</si>
  <si>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</si>
  <si>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</si>
  <si>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</si>
  <si>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</si>
  <si>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</si>
  <si>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</si>
  <si>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</si>
  <si>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</si>
  <si>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</si>
  <si>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</si>
  <si>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</si>
  <si>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</si>
  <si>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</si>
  <si>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</si>
  <si>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</si>
  <si>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</si>
  <si>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</si>
  <si>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</si>
  <si>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</si>
  <si>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</si>
  <si>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</si>
  <si>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</si>
  <si>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</si>
  <si>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</si>
  <si>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</si>
  <si>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</si>
  <si>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</si>
  <si>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</si>
  <si>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</si>
  <si>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</si>
  <si>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</si>
  <si>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</si>
  <si>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</si>
  <si>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</si>
  <si>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</si>
  <si>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</si>
  <si>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</si>
  <si>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</si>
  <si>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Revenue</t>
  </si>
  <si>
    <t>Particular</t>
  </si>
  <si>
    <t>Opperating profit</t>
  </si>
  <si>
    <t>Total Expenses</t>
  </si>
  <si>
    <t>Telephone and internet Exp</t>
  </si>
  <si>
    <t xml:space="preserve">         Total Admin Expense</t>
  </si>
  <si>
    <t>Unit</t>
  </si>
  <si>
    <t>Average BEP</t>
  </si>
  <si>
    <t>Own Contribution</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</si>
  <si>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</si>
  <si>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</si>
  <si>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</si>
  <si>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</si>
  <si>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</si>
  <si>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</si>
  <si>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</si>
  <si>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</si>
  <si>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</si>
  <si>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</si>
  <si>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</si>
  <si>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</si>
  <si>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</si>
  <si>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</si>
  <si>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</si>
  <si>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</si>
  <si>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</si>
  <si>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</si>
  <si>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</si>
  <si>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</si>
  <si>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</si>
  <si>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</si>
  <si>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</si>
  <si>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</si>
  <si>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</si>
  <si>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</si>
  <si>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</si>
  <si>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</si>
  <si>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</si>
  <si>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</si>
  <si>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</si>
  <si>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</si>
  <si>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</si>
  <si>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</si>
  <si>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</si>
  <si>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</si>
  <si>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A</t>
  </si>
  <si>
    <t>B</t>
  </si>
  <si>
    <t>C</t>
  </si>
  <si>
    <t>D</t>
  </si>
  <si>
    <t>Vegetable</t>
  </si>
  <si>
    <t>Machine Operator</t>
  </si>
  <si>
    <t>Accountant</t>
  </si>
  <si>
    <t>Printing &amp; Stationary</t>
  </si>
  <si>
    <t>Misc.expenses</t>
  </si>
  <si>
    <t>Audit and Legal Compliences expenses</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</si>
  <si>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</si>
  <si>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</si>
  <si>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</si>
  <si>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</si>
  <si>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</si>
  <si>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</si>
  <si>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</si>
  <si>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</si>
  <si>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</si>
  <si>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</si>
  <si>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</si>
  <si>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</si>
  <si>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</si>
  <si>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</si>
  <si>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</si>
  <si>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</si>
  <si>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</si>
  <si>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</si>
  <si>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</si>
  <si>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</si>
  <si>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</si>
  <si>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</si>
  <si>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</si>
  <si>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</si>
  <si>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</si>
  <si>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</si>
  <si>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</si>
  <si>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</si>
  <si>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</si>
  <si>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</si>
  <si>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</si>
  <si>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</si>
  <si>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</si>
  <si>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</si>
  <si>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</si>
  <si>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</si>
  <si>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</si>
  <si>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</si>
  <si>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</si>
  <si>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</si>
  <si>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</si>
  <si>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</si>
  <si>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</si>
  <si>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</si>
  <si>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</si>
  <si>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</si>
  <si>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</si>
  <si>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</si>
  <si>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</si>
  <si>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</si>
  <si>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</si>
  <si>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</si>
  <si>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</si>
  <si>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</si>
  <si>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</si>
  <si>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</si>
  <si>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</si>
  <si>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</si>
  <si>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</si>
  <si>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</si>
  <si>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</si>
  <si>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</si>
  <si>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</si>
  <si>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</si>
  <si>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</si>
  <si>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</si>
  <si>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</si>
  <si>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</si>
  <si>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</si>
  <si>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</si>
  <si>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</si>
  <si>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</si>
  <si>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</si>
  <si>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</si>
  <si>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</si>
  <si>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</si>
  <si>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</si>
  <si>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</si>
  <si>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</si>
  <si>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</si>
  <si>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</si>
  <si>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</si>
  <si>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</si>
  <si>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</si>
  <si>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</si>
  <si>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</si>
  <si>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</si>
  <si>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</si>
  <si>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</si>
  <si>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</si>
  <si>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</si>
  <si>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</si>
  <si>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</si>
  <si>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</si>
  <si>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Unit Cost</t>
  </si>
  <si>
    <t>Taxable Income</t>
  </si>
  <si>
    <t>Year</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</si>
  <si>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</si>
  <si>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</si>
  <si>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</si>
  <si>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</si>
  <si>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</si>
  <si>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</si>
  <si>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</si>
  <si>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</si>
  <si>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</si>
  <si>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</si>
  <si>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</si>
  <si>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</si>
  <si>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</si>
  <si>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Fixed Cost</t>
  </si>
  <si>
    <t>Variable Cost</t>
  </si>
  <si>
    <t>Daily Lobour</t>
  </si>
  <si>
    <t>Operaing Income</t>
  </si>
  <si>
    <t>Black Gram</t>
  </si>
  <si>
    <t>Green Gram</t>
  </si>
  <si>
    <t>Pulses</t>
  </si>
  <si>
    <t xml:space="preserve">Black Gram </t>
  </si>
  <si>
    <t>Black gram</t>
  </si>
  <si>
    <t xml:space="preserve">Daily Labour </t>
  </si>
  <si>
    <t>Total Variable Cost</t>
  </si>
  <si>
    <t>Total Quantity Stored per Annum</t>
  </si>
  <si>
    <t>Warehouse Manager</t>
  </si>
  <si>
    <t>Storage Charges per MT per Month</t>
  </si>
  <si>
    <t>Total Fixed Cost</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</si>
  <si>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</si>
  <si>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</si>
  <si>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</si>
  <si>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</si>
  <si>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</si>
  <si>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</si>
  <si>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</si>
  <si>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</si>
  <si>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</si>
  <si>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</si>
  <si>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</si>
  <si>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</si>
  <si>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</si>
  <si>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</si>
  <si>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</si>
  <si>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</si>
  <si>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</si>
  <si>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</si>
  <si>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</si>
  <si>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</si>
  <si>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</si>
  <si>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</si>
  <si>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</si>
  <si>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</si>
  <si>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</si>
  <si>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</si>
  <si>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</si>
  <si>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</si>
  <si>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</si>
  <si>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</si>
  <si>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</si>
  <si>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</si>
  <si>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</si>
  <si>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</si>
  <si>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</si>
  <si>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</si>
  <si>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</si>
  <si>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</si>
  <si>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</si>
  <si>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</si>
  <si>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</si>
  <si>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</si>
  <si>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</si>
  <si>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</si>
  <si>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</si>
  <si>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</si>
  <si>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</si>
  <si>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</si>
  <si>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</si>
  <si>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</si>
  <si>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</si>
  <si>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</si>
  <si>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</si>
  <si>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</si>
  <si>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</si>
  <si>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</si>
  <si>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</si>
  <si>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</si>
  <si>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</si>
  <si>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</si>
  <si>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</si>
  <si>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</si>
  <si>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</si>
  <si>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</si>
  <si>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</si>
  <si>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</si>
  <si>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</si>
  <si>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</si>
  <si>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</si>
  <si>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</si>
  <si>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</si>
  <si>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</si>
  <si>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</si>
  <si>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</si>
  <si>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</si>
  <si>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</si>
  <si>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</si>
  <si>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</si>
  <si>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</si>
  <si>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</si>
  <si>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</si>
  <si>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</si>
  <si>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</si>
  <si>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</si>
  <si>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</si>
  <si>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</si>
  <si>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</si>
  <si>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</si>
  <si>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</si>
  <si>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</si>
  <si>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</si>
  <si>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</si>
  <si>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</si>
  <si>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</si>
  <si>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</si>
  <si>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</si>
  <si>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</si>
  <si>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</si>
  <si>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</si>
  <si>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</si>
  <si>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</si>
  <si>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</si>
  <si>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</si>
  <si>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</si>
  <si>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</si>
  <si>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</si>
  <si>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</si>
  <si>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</si>
  <si>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</si>
  <si>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</si>
  <si>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</si>
  <si>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</si>
  <si>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</si>
  <si>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</si>
  <si>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</si>
  <si>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</si>
  <si>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</si>
  <si>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</si>
  <si>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</si>
  <si>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</si>
  <si>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</si>
  <si>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</si>
  <si>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</si>
  <si>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</si>
  <si>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</si>
  <si>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</si>
  <si>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</si>
  <si>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</si>
  <si>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</si>
  <si>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</si>
  <si>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</si>
  <si>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</si>
  <si>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</si>
  <si>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</si>
  <si>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</si>
  <si>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</si>
  <si>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</si>
  <si>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</si>
  <si>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</si>
  <si>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</si>
  <si>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</si>
  <si>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</si>
  <si>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</si>
  <si>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</si>
  <si>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</si>
  <si>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</si>
  <si>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</si>
  <si>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</si>
  <si>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</si>
  <si>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</si>
  <si>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</si>
  <si>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</si>
  <si>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</si>
  <si>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</si>
  <si>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</si>
  <si>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</si>
  <si>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</si>
  <si>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</si>
  <si>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</si>
  <si>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</si>
  <si>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</si>
  <si>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</si>
  <si>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</si>
  <si>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1 - Cleaning &amp; Grading</t>
  </si>
  <si>
    <t>Faclitiy 3 - Warehouse</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</si>
  <si>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</si>
  <si>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</si>
  <si>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</si>
  <si>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</si>
  <si>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</si>
  <si>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</si>
  <si>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</si>
  <si>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</si>
  <si>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</si>
  <si>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Grain Processing - Dal Mill</t>
  </si>
  <si>
    <t>F &amp; V Processing - Pomegrantes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</si>
  <si>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</si>
  <si>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</si>
  <si>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</si>
  <si>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</si>
  <si>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</si>
  <si>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</si>
  <si>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</si>
  <si>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</si>
  <si>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</si>
  <si>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</si>
  <si>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</si>
  <si>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</si>
  <si>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</si>
  <si>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</si>
  <si>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</si>
  <si>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</si>
  <si>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</si>
  <si>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</si>
  <si>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</si>
  <si>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</si>
  <si>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</si>
  <si>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</si>
  <si>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</si>
  <si>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</si>
  <si>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</si>
  <si>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</si>
  <si>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</si>
  <si>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</si>
  <si>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</si>
  <si>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</si>
  <si>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</si>
  <si>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</si>
  <si>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</si>
  <si>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</si>
  <si>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</si>
  <si>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</si>
  <si>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</si>
  <si>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</si>
  <si>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</si>
  <si>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</si>
  <si>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</si>
  <si>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</si>
  <si>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</si>
  <si>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</si>
  <si>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</si>
  <si>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</si>
  <si>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</si>
  <si>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</si>
  <si>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</si>
  <si>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</si>
  <si>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</si>
  <si>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</si>
  <si>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</si>
  <si>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</si>
  <si>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</si>
  <si>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</si>
  <si>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</si>
  <si>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</si>
  <si>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</si>
  <si>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</si>
  <si>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</si>
  <si>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</si>
  <si>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</si>
  <si>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</si>
  <si>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</si>
  <si>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</si>
  <si>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</si>
  <si>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</si>
  <si>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</si>
  <si>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</si>
  <si>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</si>
  <si>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</si>
  <si>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</si>
  <si>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</si>
  <si>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</si>
  <si>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</si>
  <si>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</si>
  <si>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</si>
  <si>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</si>
  <si>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</si>
  <si>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</si>
  <si>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</si>
  <si>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</si>
  <si>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</si>
  <si>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</si>
  <si>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</si>
  <si>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</si>
  <si>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</si>
  <si>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</si>
  <si>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</si>
  <si>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</si>
  <si>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</si>
  <si>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</si>
  <si>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</si>
  <si>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</si>
  <si>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</si>
  <si>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</si>
  <si>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</si>
  <si>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</si>
  <si>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</si>
  <si>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</si>
  <si>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</si>
  <si>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</si>
  <si>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</si>
  <si>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</si>
  <si>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</si>
  <si>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</si>
  <si>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</si>
  <si>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</si>
  <si>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</si>
  <si>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</si>
  <si>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</si>
  <si>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</si>
  <si>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</si>
  <si>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</si>
  <si>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</si>
  <si>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</si>
  <si>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</si>
  <si>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</si>
  <si>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</si>
  <si>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</si>
  <si>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</si>
  <si>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</si>
  <si>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</si>
  <si>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</si>
  <si>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</si>
  <si>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</si>
  <si>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</si>
  <si>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</si>
  <si>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</si>
  <si>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</si>
  <si>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</si>
  <si>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</si>
  <si>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</si>
  <si>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</si>
  <si>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</si>
  <si>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</si>
  <si>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</si>
  <si>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</si>
  <si>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</si>
  <si>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</si>
  <si>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</si>
  <si>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</si>
  <si>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</si>
  <si>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 xml:space="preserve"> </t>
  </si>
  <si>
    <t>Building Godwaan</t>
  </si>
  <si>
    <t>Area Under Kharip Cultivation ( In Acres)</t>
  </si>
  <si>
    <t>Financial indicators  (IRR, BEP,NPV, , Pay back period, DSCR, sensitivity analysis )</t>
  </si>
  <si>
    <t>Return on investment () is a performance measure used to evaluate the efficiency or profitability of an investment</t>
  </si>
  <si>
    <t>Market Research</t>
  </si>
  <si>
    <t>Preparation of Project Report</t>
  </si>
  <si>
    <t xml:space="preserve">Manager </t>
  </si>
  <si>
    <t xml:space="preserve">Facility 2 - Grain Processing Unit </t>
  </si>
  <si>
    <t xml:space="preserve">Job Work </t>
  </si>
  <si>
    <t>Cattlefeed Chuni (95%)</t>
  </si>
  <si>
    <t>Bird Feed Local(3%)</t>
  </si>
  <si>
    <t>Processing waste (2%)</t>
  </si>
  <si>
    <t>Jawar Floor (95%)</t>
  </si>
  <si>
    <t>Bird Feed Local (3%)</t>
  </si>
  <si>
    <t>Waste (2%)</t>
  </si>
  <si>
    <t>Jawar Floor</t>
  </si>
  <si>
    <t>Cattle feed and bird feed</t>
  </si>
  <si>
    <t xml:space="preserve">Maize </t>
  </si>
  <si>
    <t>Superwiser</t>
  </si>
  <si>
    <t xml:space="preserve">100 % of Working Capital will be financed by the company </t>
  </si>
  <si>
    <t>Finaancial Accounting Software - Tally</t>
  </si>
  <si>
    <t>Cleaning &amp; Grading unit</t>
  </si>
  <si>
    <t>2TPH</t>
  </si>
  <si>
    <t>Weight machine</t>
  </si>
  <si>
    <t>Papad Machine</t>
  </si>
  <si>
    <t>bag closer machine</t>
  </si>
  <si>
    <t>Rava</t>
  </si>
  <si>
    <t>Quantity for sale (90%)</t>
  </si>
  <si>
    <t>Job Work (10%)</t>
  </si>
  <si>
    <t>Jowar floor(95%)</t>
  </si>
  <si>
    <t>Website  &amp; app Development</t>
  </si>
  <si>
    <t>Multi Crop Thresher Mechine</t>
  </si>
  <si>
    <t>Mixer &amp; store tank 250 Kg. with screw conveyor</t>
  </si>
  <si>
    <t>Industrial Trolly</t>
  </si>
  <si>
    <t>Seed cum Fertilizer Drill</t>
  </si>
  <si>
    <t>Rava (90%)</t>
  </si>
  <si>
    <t>2Qtl</t>
  </si>
  <si>
    <t>200Kg.</t>
  </si>
  <si>
    <t xml:space="preserve">Dryer Machine 300Kg. </t>
  </si>
  <si>
    <t>Husk and powder</t>
  </si>
  <si>
    <t>250Kg.</t>
  </si>
  <si>
    <t>300Kg.</t>
  </si>
  <si>
    <t>Faclitiy 2 - Processing Unit- Atta Mill</t>
  </si>
  <si>
    <t>Sorghum Floor &amp; Rava Mill</t>
  </si>
  <si>
    <t>Cleaning &amp; Grading machine</t>
  </si>
  <si>
    <t>Sorghum floor &amp; Rava Machine</t>
  </si>
  <si>
    <t>Packing Machine 5-10Kg with Screw Feeder</t>
  </si>
  <si>
    <t xml:space="preserve">Civil Work for Machine  1000sqft </t>
  </si>
  <si>
    <t>13.2 Facility 2 - Profit and loss of Grain Processing Unit - Rava &amp; floor Mill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</si>
</sst>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rgb="FFFF0000"/>
      <name val="Calibri"/>
      <family val="2"/>
      <scheme val="minor"/>
    </font>
    <font>
      <b/>
      <sz val="12"/>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8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0" fontId="27" fillId="6" borderId="1" xfId="0"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Fill="1" applyBorder="1"/>
    <xf numFmtId="0" fontId="0" fillId="0" borderId="0" xfId="0" applyBorder="1"/>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0" fillId="0" borderId="14" xfId="0" applyBorder="1" applyAlignment="1">
      <alignment horizontal="center" vertical="center"/>
    </xf>
    <xf numFmtId="43" fontId="27" fillId="6" borderId="1" xfId="2" applyFont="1" applyFill="1" applyBorder="1"/>
    <xf numFmtId="169" fontId="2" fillId="0" borderId="0" xfId="0" applyNumberFormat="1" applyFont="1" applyFill="1" applyBorder="1"/>
    <xf numFmtId="43" fontId="2" fillId="0" borderId="0" xfId="0" applyNumberFormat="1" applyFont="1" applyFill="1" applyBorder="1"/>
    <xf numFmtId="0" fontId="42" fillId="6" borderId="1" xfId="0" applyFont="1" applyFill="1" applyBorder="1" applyAlignment="1">
      <alignment horizontal="center" vertical="center" wrapText="1"/>
    </xf>
    <xf numFmtId="9" fontId="68" fillId="6" borderId="1" xfId="1" applyFont="1" applyFill="1" applyBorder="1"/>
    <xf numFmtId="164" fontId="27" fillId="0" borderId="1" xfId="2" applyNumberFormat="1" applyFont="1" applyBorder="1"/>
    <xf numFmtId="0" fontId="0" fillId="0" borderId="2" xfId="0" applyFill="1" applyBorder="1"/>
    <xf numFmtId="1" fontId="0" fillId="0" borderId="1" xfId="0" applyNumberFormat="1" applyBorder="1"/>
    <xf numFmtId="164" fontId="27" fillId="0" borderId="1" xfId="1" applyNumberFormat="1" applyFont="1" applyBorder="1"/>
    <xf numFmtId="164" fontId="28" fillId="7" borderId="1" xfId="3" applyNumberFormat="1" applyFont="1" applyFill="1" applyBorder="1"/>
    <xf numFmtId="171" fontId="27" fillId="0" borderId="1" xfId="2" applyNumberFormat="1" applyFont="1" applyBorder="1"/>
    <xf numFmtId="1" fontId="0" fillId="0" borderId="0" xfId="0" applyNumberFormat="1"/>
    <xf numFmtId="1" fontId="0" fillId="0" borderId="2" xfId="0" applyNumberFormat="1" applyFill="1" applyBorder="1"/>
    <xf numFmtId="1" fontId="0" fillId="7" borderId="1" xfId="0" applyNumberFormat="1" applyFill="1" applyBorder="1"/>
    <xf numFmtId="171" fontId="27" fillId="0" borderId="2" xfId="2" applyNumberFormat="1" applyFont="1" applyFill="1" applyBorder="1"/>
    <xf numFmtId="0" fontId="29" fillId="6" borderId="1" xfId="0" applyFont="1" applyFill="1" applyBorder="1" applyAlignment="1">
      <alignment horizontal="left" vertical="center" wrapText="1"/>
    </xf>
    <xf numFmtId="0" fontId="0" fillId="6" borderId="0" xfId="0" applyFill="1"/>
    <xf numFmtId="166" fontId="29" fillId="6" borderId="1" xfId="3" applyFont="1" applyFill="1" applyBorder="1" applyAlignment="1">
      <alignment horizontal="right" vertical="center" wrapText="1"/>
    </xf>
    <xf numFmtId="0" fontId="28" fillId="6" borderId="1" xfId="0" applyFont="1" applyFill="1" applyBorder="1" applyAlignment="1">
      <alignment vertical="center" wrapText="1"/>
    </xf>
    <xf numFmtId="9" fontId="0" fillId="7" borderId="1" xfId="1" applyFont="1" applyFill="1" applyBorder="1"/>
    <xf numFmtId="9" fontId="68" fillId="7" borderId="1" xfId="1" applyFont="1" applyFill="1" applyBorder="1"/>
    <xf numFmtId="43" fontId="0" fillId="0" borderId="0" xfId="0" applyNumberFormat="1"/>
    <xf numFmtId="0" fontId="69" fillId="6" borderId="1" xfId="0" applyFont="1" applyFill="1" applyBorder="1" applyAlignment="1">
      <alignment vertical="center" wrapText="1"/>
    </xf>
    <xf numFmtId="0" fontId="27" fillId="6" borderId="1" xfId="0" applyFont="1" applyFill="1" applyBorder="1" applyAlignment="1">
      <alignment horizontal="left" vertical="center" wrapText="1"/>
    </xf>
    <xf numFmtId="0" fontId="37" fillId="0" borderId="0" xfId="6" applyFont="1" applyFill="1" applyBorder="1" applyAlignmen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6" workbookViewId="0">
      <selection activeCell="D19" sqref="D19"/>
    </sheetView>
  </sheetViews>
  <sheetFormatPr defaultColWidth="9.140625" defaultRowHeight="15"/>
  <cols>
    <col min="1" max="1" width="12.85546875" style="356" customWidth="1"/>
    <col min="2" max="2" width="56" style="356" customWidth="1"/>
    <col min="3" max="3" width="26.28515625" style="356" customWidth="1"/>
    <col min="4" max="4" width="20.7109375" style="356" customWidth="1"/>
    <col min="5" max="5" width="29.42578125" style="356" customWidth="1"/>
    <col min="6" max="16384" width="9.140625" style="356"/>
  </cols>
  <sheetData>
    <row r="1" spans="1:5" ht="26.25" customHeight="1">
      <c r="A1" s="398" t="s">
        <v>584</v>
      </c>
      <c r="B1" s="398"/>
      <c r="C1" s="398"/>
      <c r="D1" s="398"/>
      <c r="E1" s="398"/>
    </row>
    <row r="2" spans="1:5" ht="26.25" customHeight="1">
      <c r="A2" s="399" t="s">
        <v>580</v>
      </c>
      <c r="B2" s="399"/>
      <c r="C2" s="399"/>
      <c r="D2" s="399"/>
      <c r="E2" s="399"/>
    </row>
    <row r="3" spans="1:5" ht="23.25" customHeight="1">
      <c r="A3" s="400" t="s">
        <v>552</v>
      </c>
      <c r="B3" s="400"/>
      <c r="C3" s="400"/>
      <c r="D3" s="400"/>
      <c r="E3" s="400"/>
    </row>
    <row r="4" spans="1:5" ht="240.75" customHeight="1">
      <c r="A4" s="401" t="s">
        <v>585</v>
      </c>
      <c r="B4" s="401"/>
      <c r="C4" s="401"/>
      <c r="D4" s="401"/>
      <c r="E4" s="401"/>
    </row>
    <row r="5" spans="1:5" ht="23.25" customHeight="1">
      <c r="A5" s="400" t="s">
        <v>553</v>
      </c>
      <c r="B5" s="400"/>
      <c r="C5" s="400"/>
      <c r="D5" s="400"/>
      <c r="E5" s="400"/>
    </row>
    <row r="6" spans="1:5" ht="108" customHeight="1">
      <c r="A6" s="408" t="s">
        <v>623</v>
      </c>
      <c r="B6" s="409"/>
      <c r="C6" s="409"/>
      <c r="D6" s="409"/>
      <c r="E6" s="410"/>
    </row>
    <row r="7" spans="1:5" ht="23.25" customHeight="1">
      <c r="A7" s="411" t="s">
        <v>586</v>
      </c>
      <c r="B7" s="411"/>
      <c r="C7" s="411"/>
      <c r="D7" s="411"/>
      <c r="E7" s="411"/>
    </row>
    <row r="8" spans="1:5" ht="125.25" customHeight="1">
      <c r="A8" s="401" t="s">
        <v>622</v>
      </c>
      <c r="B8" s="401"/>
      <c r="C8" s="401"/>
      <c r="D8" s="401"/>
      <c r="E8" s="401"/>
    </row>
    <row r="9" spans="1:5" ht="23.25">
      <c r="A9" s="400" t="s">
        <v>577</v>
      </c>
      <c r="B9" s="400"/>
      <c r="C9" s="400"/>
      <c r="D9" s="400"/>
      <c r="E9" s="400"/>
    </row>
    <row r="10" spans="1:5">
      <c r="A10" s="356" t="s">
        <v>554</v>
      </c>
      <c r="B10" s="356" t="s">
        <v>149</v>
      </c>
    </row>
    <row r="11" spans="1:5" ht="20.25" customHeight="1">
      <c r="A11" s="360"/>
      <c r="B11" s="412" t="s">
        <v>385</v>
      </c>
      <c r="C11" s="413"/>
      <c r="D11" s="413"/>
      <c r="E11" s="414"/>
    </row>
    <row r="12" spans="1:5">
      <c r="A12" s="361"/>
      <c r="B12" s="402" t="s">
        <v>386</v>
      </c>
      <c r="C12" s="402"/>
      <c r="D12" s="402"/>
      <c r="E12" s="402"/>
    </row>
    <row r="13" spans="1:5" s="365" customFormat="1">
      <c r="A13" s="403"/>
      <c r="B13" s="403"/>
      <c r="C13" s="403"/>
      <c r="D13" s="403"/>
      <c r="E13" s="404"/>
    </row>
    <row r="14" spans="1:5" ht="23.25">
      <c r="A14" s="400" t="s">
        <v>578</v>
      </c>
      <c r="B14" s="400"/>
      <c r="C14" s="400"/>
      <c r="D14" s="400"/>
      <c r="E14" s="400"/>
    </row>
    <row r="15" spans="1:5">
      <c r="A15" s="357" t="s">
        <v>550</v>
      </c>
      <c r="B15" s="357" t="s">
        <v>587</v>
      </c>
      <c r="C15" s="357" t="s">
        <v>414</v>
      </c>
      <c r="D15" s="357" t="s">
        <v>558</v>
      </c>
      <c r="E15" s="357" t="s">
        <v>551</v>
      </c>
    </row>
    <row r="16" spans="1:5">
      <c r="A16" s="366" t="s">
        <v>171</v>
      </c>
      <c r="B16" s="366" t="s">
        <v>588</v>
      </c>
      <c r="C16" s="366"/>
      <c r="D16" s="366"/>
      <c r="E16" s="366"/>
    </row>
    <row r="17" spans="1:5" ht="60">
      <c r="A17" s="367" t="s">
        <v>568</v>
      </c>
      <c r="B17" s="358" t="s">
        <v>575</v>
      </c>
      <c r="C17" s="358" t="s">
        <v>619</v>
      </c>
      <c r="D17" s="358" t="s">
        <v>589</v>
      </c>
      <c r="E17" s="358"/>
    </row>
    <row r="18" spans="1:5" ht="90">
      <c r="A18" s="367" t="s">
        <v>569</v>
      </c>
      <c r="B18" s="358" t="s">
        <v>555</v>
      </c>
      <c r="C18" s="358" t="s">
        <v>620</v>
      </c>
      <c r="D18" s="358" t="s">
        <v>590</v>
      </c>
      <c r="E18" s="358"/>
    </row>
    <row r="19" spans="1:5" ht="26.25" customHeight="1">
      <c r="A19" s="367" t="s">
        <v>570</v>
      </c>
      <c r="B19" s="359" t="s">
        <v>581</v>
      </c>
      <c r="C19" s="358" t="s">
        <v>591</v>
      </c>
      <c r="D19" s="358" t="s">
        <v>592</v>
      </c>
      <c r="E19" s="358" t="s">
        <v>579</v>
      </c>
    </row>
    <row r="20" spans="1:5" ht="30">
      <c r="A20" s="367" t="s">
        <v>571</v>
      </c>
      <c r="B20" s="358" t="s">
        <v>621</v>
      </c>
      <c r="C20" s="358"/>
      <c r="D20" s="358"/>
      <c r="E20" s="358"/>
    </row>
    <row r="21" spans="1:5">
      <c r="A21" s="358">
        <v>4.0999999999999996</v>
      </c>
      <c r="B21" s="358" t="s">
        <v>562</v>
      </c>
      <c r="C21" s="405" t="s">
        <v>593</v>
      </c>
      <c r="D21" s="358" t="s">
        <v>594</v>
      </c>
      <c r="E21" s="358"/>
    </row>
    <row r="22" spans="1:5" ht="30">
      <c r="A22" s="358">
        <v>4.2</v>
      </c>
      <c r="B22" s="358" t="s">
        <v>566</v>
      </c>
      <c r="C22" s="406"/>
      <c r="D22" s="358" t="s">
        <v>595</v>
      </c>
      <c r="E22" s="358"/>
    </row>
    <row r="23" spans="1:5">
      <c r="A23" s="358">
        <v>4.3</v>
      </c>
      <c r="B23" s="358" t="s">
        <v>563</v>
      </c>
      <c r="C23" s="406"/>
      <c r="D23" s="358" t="s">
        <v>596</v>
      </c>
      <c r="E23" s="358"/>
    </row>
    <row r="24" spans="1:5">
      <c r="A24" s="358">
        <v>4.4000000000000004</v>
      </c>
      <c r="B24" s="358" t="s">
        <v>564</v>
      </c>
      <c r="C24" s="406"/>
      <c r="D24" s="358" t="s">
        <v>597</v>
      </c>
      <c r="E24" s="358"/>
    </row>
    <row r="25" spans="1:5">
      <c r="A25" s="358">
        <v>4.5</v>
      </c>
      <c r="B25" s="358" t="s">
        <v>565</v>
      </c>
      <c r="C25" s="406"/>
      <c r="D25" s="358" t="s">
        <v>598</v>
      </c>
      <c r="E25" s="358"/>
    </row>
    <row r="26" spans="1:5">
      <c r="A26" s="358">
        <v>4.5999999999999996</v>
      </c>
      <c r="B26" s="358" t="s">
        <v>567</v>
      </c>
      <c r="C26" s="407"/>
      <c r="D26" s="358" t="s">
        <v>599</v>
      </c>
      <c r="E26" s="358"/>
    </row>
    <row r="27" spans="1:5" ht="45">
      <c r="A27" s="367" t="s">
        <v>572</v>
      </c>
      <c r="B27" s="358" t="s">
        <v>556</v>
      </c>
      <c r="C27" s="358" t="s">
        <v>600</v>
      </c>
      <c r="D27" s="358" t="s">
        <v>625</v>
      </c>
      <c r="E27" s="358"/>
    </row>
    <row r="28" spans="1:5" ht="60">
      <c r="A28" s="367" t="s">
        <v>573</v>
      </c>
      <c r="B28" s="358" t="s">
        <v>601</v>
      </c>
      <c r="C28" s="358" t="s">
        <v>602</v>
      </c>
      <c r="D28" s="358" t="s">
        <v>603</v>
      </c>
      <c r="E28" s="358"/>
    </row>
    <row r="29" spans="1:5" ht="45">
      <c r="A29" s="367" t="s">
        <v>574</v>
      </c>
      <c r="B29" s="358" t="s">
        <v>557</v>
      </c>
      <c r="C29" s="358" t="s">
        <v>604</v>
      </c>
      <c r="D29" s="358" t="s">
        <v>605</v>
      </c>
      <c r="E29" s="358"/>
    </row>
    <row r="30" spans="1:5">
      <c r="A30" s="366" t="s">
        <v>172</v>
      </c>
      <c r="B30" s="368" t="s">
        <v>606</v>
      </c>
      <c r="C30" s="366"/>
      <c r="D30" s="366"/>
      <c r="E30" s="366"/>
    </row>
    <row r="31" spans="1:5" ht="26.25" customHeight="1">
      <c r="A31" s="369" t="s">
        <v>607</v>
      </c>
      <c r="B31" s="358" t="s">
        <v>559</v>
      </c>
      <c r="C31" s="358"/>
      <c r="D31" s="358" t="s">
        <v>608</v>
      </c>
      <c r="E31" s="358" t="s">
        <v>579</v>
      </c>
    </row>
    <row r="32" spans="1:5">
      <c r="A32" s="369" t="s">
        <v>609</v>
      </c>
      <c r="B32" s="358" t="s">
        <v>560</v>
      </c>
      <c r="C32" s="358"/>
      <c r="D32" s="358" t="s">
        <v>610</v>
      </c>
      <c r="E32" s="358" t="s">
        <v>579</v>
      </c>
    </row>
    <row r="33" spans="1:5">
      <c r="A33" s="369" t="s">
        <v>611</v>
      </c>
      <c r="B33" s="358" t="s">
        <v>561</v>
      </c>
      <c r="C33" s="358"/>
      <c r="D33" s="358" t="s">
        <v>612</v>
      </c>
      <c r="E33" s="358" t="s">
        <v>579</v>
      </c>
    </row>
    <row r="34" spans="1:5" ht="35.25" customHeight="1">
      <c r="A34" s="369" t="s">
        <v>613</v>
      </c>
      <c r="B34" s="358" t="s">
        <v>629</v>
      </c>
      <c r="C34" s="358"/>
      <c r="D34" s="358" t="s">
        <v>614</v>
      </c>
      <c r="E34" s="358" t="s">
        <v>579</v>
      </c>
    </row>
    <row r="35" spans="1:5" ht="35.25" customHeight="1">
      <c r="A35" s="369" t="s">
        <v>615</v>
      </c>
      <c r="B35" s="358" t="s">
        <v>616</v>
      </c>
      <c r="C35" s="358"/>
      <c r="D35" s="358" t="s">
        <v>624</v>
      </c>
      <c r="E35" s="358" t="s">
        <v>579</v>
      </c>
    </row>
    <row r="36" spans="1:5">
      <c r="A36" s="367" t="s">
        <v>617</v>
      </c>
      <c r="B36" s="358" t="s">
        <v>618</v>
      </c>
      <c r="C36" s="358"/>
      <c r="D36" s="358"/>
      <c r="E36" s="358"/>
    </row>
    <row r="37" spans="1:5" ht="21">
      <c r="A37" s="397"/>
      <c r="B37" s="397"/>
      <c r="C37" s="397"/>
      <c r="D37" s="397"/>
      <c r="E37" s="39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5:S169"/>
  <sheetViews>
    <sheetView view="pageBreakPreview" topLeftCell="A146" zoomScale="110" zoomScaleSheetLayoutView="110" workbookViewId="0">
      <selection activeCell="B120" sqref="B120:I167"/>
    </sheetView>
  </sheetViews>
  <sheetFormatPr defaultRowHeight="15"/>
  <cols>
    <col min="2" max="2" width="32.7109375" bestFit="1" customWidth="1"/>
    <col min="3" max="3" width="18" bestFit="1"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62" t="s">
        <v>511</v>
      </c>
      <c r="C5" s="462"/>
      <c r="D5" s="462"/>
      <c r="E5" s="462"/>
      <c r="F5" s="462"/>
      <c r="G5" s="462"/>
      <c r="H5" s="462"/>
      <c r="I5" s="462"/>
      <c r="J5" s="462"/>
    </row>
    <row r="6" spans="2:12" ht="16.5">
      <c r="B6" s="8"/>
      <c r="C6" s="8"/>
      <c r="D6" s="8"/>
      <c r="E6" s="8"/>
      <c r="F6" s="8"/>
      <c r="G6" s="8"/>
      <c r="H6" s="8"/>
      <c r="I6" s="8"/>
      <c r="J6" s="8"/>
    </row>
    <row r="7" spans="2:12" ht="15.75">
      <c r="B7" s="84" t="s">
        <v>29</v>
      </c>
      <c r="C7" s="85" t="s">
        <v>314</v>
      </c>
      <c r="D7" s="85" t="s">
        <v>2</v>
      </c>
      <c r="E7" s="85" t="s">
        <v>3</v>
      </c>
      <c r="F7" s="85" t="s">
        <v>4</v>
      </c>
      <c r="G7" s="85" t="s">
        <v>5</v>
      </c>
      <c r="H7" s="85" t="s">
        <v>6</v>
      </c>
      <c r="I7" s="85" t="s">
        <v>168</v>
      </c>
      <c r="J7" s="85" t="s">
        <v>167</v>
      </c>
      <c r="L7" s="362"/>
    </row>
    <row r="8" spans="2:12">
      <c r="B8" s="86"/>
      <c r="C8" s="86"/>
      <c r="D8" s="86"/>
      <c r="E8" s="86"/>
      <c r="F8" s="86"/>
      <c r="G8" s="86"/>
      <c r="H8" s="86"/>
      <c r="I8" s="86"/>
      <c r="J8" s="86"/>
    </row>
    <row r="9" spans="2:12">
      <c r="B9" s="86" t="s">
        <v>30</v>
      </c>
      <c r="C9" s="86"/>
      <c r="D9" s="87">
        <f>'6.Cons Profit &amp; Loss'!B42</f>
        <v>743576.83996764093</v>
      </c>
      <c r="E9" s="87">
        <f>'6.Cons Profit &amp; Loss'!C42</f>
        <v>689094.39373955841</v>
      </c>
      <c r="F9" s="87">
        <f>'6.Cons Profit &amp; Loss'!D42</f>
        <v>823785.01159973198</v>
      </c>
      <c r="G9" s="87">
        <f>'6.Cons Profit &amp; Loss'!E42</f>
        <v>975123.3951992942</v>
      </c>
      <c r="H9" s="87">
        <f>'6.Cons Profit &amp; Loss'!F42</f>
        <v>1143413.1876652511</v>
      </c>
      <c r="I9" s="87">
        <f>'6.Cons Profit &amp; Loss'!G42</f>
        <v>1345022.6781395227</v>
      </c>
      <c r="J9" s="87">
        <f>'6.Cons Profit &amp; Loss'!H42</f>
        <v>1548991.5733363414</v>
      </c>
    </row>
    <row r="10" spans="2:12">
      <c r="B10" s="86"/>
      <c r="C10" s="86"/>
      <c r="D10" s="87"/>
      <c r="E10" s="87"/>
      <c r="F10" s="87"/>
      <c r="G10" s="87"/>
      <c r="H10" s="87"/>
      <c r="I10" s="87"/>
      <c r="J10" s="87"/>
    </row>
    <row r="11" spans="2:12">
      <c r="B11" s="88" t="s">
        <v>31</v>
      </c>
      <c r="C11" s="88"/>
      <c r="D11" s="87">
        <f>'6.Cons Profit &amp; Loss'!B33</f>
        <v>237254.98949999997</v>
      </c>
      <c r="E11" s="87">
        <f>'6.Cons Profit &amp; Loss'!C33</f>
        <v>237254.98949999997</v>
      </c>
      <c r="F11" s="87">
        <f>'6.Cons Profit &amp; Loss'!D33</f>
        <v>237254.98949999997</v>
      </c>
      <c r="G11" s="87">
        <f>'6.Cons Profit &amp; Loss'!E33</f>
        <v>237254.98949999997</v>
      </c>
      <c r="H11" s="87">
        <f>'6.Cons Profit &amp; Loss'!F33</f>
        <v>237254.98949999997</v>
      </c>
      <c r="I11" s="87">
        <f>'6.Cons Profit &amp; Loss'!G33</f>
        <v>237254.98949999997</v>
      </c>
      <c r="J11" s="87">
        <f>'6.Cons Profit &amp; Loss'!H33</f>
        <v>237254.98949999997</v>
      </c>
    </row>
    <row r="12" spans="2:12">
      <c r="B12" s="86" t="s">
        <v>36</v>
      </c>
      <c r="C12" s="86"/>
      <c r="D12" s="87">
        <f>'6.Cons Profit &amp; Loss'!B34</f>
        <v>21400</v>
      </c>
      <c r="E12" s="87">
        <f>'6.Cons Profit &amp; Loss'!C34</f>
        <v>21400</v>
      </c>
      <c r="F12" s="87">
        <f>'6.Cons Profit &amp; Loss'!D34</f>
        <v>21400</v>
      </c>
      <c r="G12" s="87">
        <f>'6.Cons Profit &amp; Loss'!E34</f>
        <v>21400</v>
      </c>
      <c r="H12" s="87">
        <f>'6.Cons Profit &amp; Loss'!F34</f>
        <v>21400</v>
      </c>
      <c r="I12" s="87">
        <f>'6.Cons Profit &amp; Loss'!G34</f>
        <v>0</v>
      </c>
      <c r="J12" s="87">
        <f>'6.Cons Profit &amp; Loss'!H34</f>
        <v>0</v>
      </c>
    </row>
    <row r="13" spans="2:12">
      <c r="B13" s="86"/>
      <c r="C13" s="86"/>
      <c r="D13" s="86"/>
      <c r="E13" s="86"/>
      <c r="F13" s="86"/>
      <c r="G13" s="86"/>
      <c r="H13" s="86"/>
      <c r="I13" s="86"/>
      <c r="J13" s="86"/>
    </row>
    <row r="14" spans="2:12">
      <c r="B14" s="86" t="s">
        <v>32</v>
      </c>
      <c r="C14" s="86"/>
      <c r="D14" s="87">
        <f>SUM(D9:D12)</f>
        <v>1002231.829467641</v>
      </c>
      <c r="E14" s="87">
        <f t="shared" ref="E14:J14" si="0">SUM(E9:E12)</f>
        <v>947749.38323955843</v>
      </c>
      <c r="F14" s="87">
        <f t="shared" si="0"/>
        <v>1082440.001099732</v>
      </c>
      <c r="G14" s="87">
        <f t="shared" si="0"/>
        <v>1233778.3846992941</v>
      </c>
      <c r="H14" s="87">
        <f t="shared" si="0"/>
        <v>1402068.177165251</v>
      </c>
      <c r="I14" s="87">
        <f t="shared" si="0"/>
        <v>1582277.6676395226</v>
      </c>
      <c r="J14" s="87">
        <f t="shared" si="0"/>
        <v>1786246.5628363413</v>
      </c>
    </row>
    <row r="15" spans="2:12">
      <c r="B15" s="86" t="s">
        <v>323</v>
      </c>
      <c r="C15" s="89">
        <f>-'1.Project Cost and MOF'!D12</f>
        <v>-5163592.347406311</v>
      </c>
      <c r="D15" s="87">
        <f>D14</f>
        <v>1002231.829467641</v>
      </c>
      <c r="E15" s="87">
        <f t="shared" ref="E15:J15" si="1">E14</f>
        <v>947749.38323955843</v>
      </c>
      <c r="F15" s="87">
        <f t="shared" si="1"/>
        <v>1082440.001099732</v>
      </c>
      <c r="G15" s="87">
        <f t="shared" si="1"/>
        <v>1233778.3846992941</v>
      </c>
      <c r="H15" s="87">
        <f t="shared" si="1"/>
        <v>1402068.177165251</v>
      </c>
      <c r="I15" s="87">
        <f t="shared" si="1"/>
        <v>1582277.6676395226</v>
      </c>
      <c r="J15" s="87">
        <f t="shared" si="1"/>
        <v>1786246.5628363413</v>
      </c>
    </row>
    <row r="16" spans="2:12">
      <c r="B16" s="86" t="s">
        <v>269</v>
      </c>
      <c r="C16" s="263">
        <f>IRR(C15:J15)</f>
        <v>0.14388315750626313</v>
      </c>
      <c r="D16" s="87"/>
      <c r="E16" s="87"/>
      <c r="F16" s="87"/>
      <c r="G16" s="87"/>
      <c r="H16" s="87"/>
      <c r="I16" s="87"/>
      <c r="J16" s="87"/>
    </row>
    <row r="17" spans="2:19">
      <c r="B17" s="86"/>
      <c r="C17" s="86"/>
      <c r="D17" s="86"/>
      <c r="E17" s="86"/>
      <c r="F17" s="86"/>
      <c r="G17" s="86"/>
      <c r="H17" s="86"/>
      <c r="I17" s="86"/>
      <c r="J17" s="86"/>
    </row>
    <row r="18" spans="2:19" ht="16.5">
      <c r="B18" s="264" t="s">
        <v>387</v>
      </c>
      <c r="C18" s="264"/>
      <c r="D18" s="265">
        <f>1/(1+$C$16)</f>
        <v>0.87421516213252282</v>
      </c>
      <c r="E18" s="266">
        <f t="shared" ref="E18:J18" si="2">D18/(1+$C$16)</f>
        <v>0.76425214970239319</v>
      </c>
      <c r="F18" s="266">
        <f t="shared" si="2"/>
        <v>0.66812081696220682</v>
      </c>
      <c r="G18" s="266">
        <f t="shared" si="2"/>
        <v>0.58408134832472924</v>
      </c>
      <c r="H18" s="266">
        <f t="shared" si="2"/>
        <v>0.51061277062428578</v>
      </c>
      <c r="I18" s="266">
        <f t="shared" si="2"/>
        <v>0.44638542605824671</v>
      </c>
      <c r="J18" s="266">
        <f t="shared" si="2"/>
        <v>0.39023690761510543</v>
      </c>
      <c r="L18" s="17"/>
      <c r="M18" s="17"/>
      <c r="N18" s="17"/>
      <c r="O18" s="17"/>
      <c r="P18" s="17"/>
      <c r="Q18" s="17"/>
      <c r="R18" s="17"/>
      <c r="S18" s="17"/>
    </row>
    <row r="19" spans="2:19">
      <c r="B19" s="86" t="s">
        <v>33</v>
      </c>
      <c r="C19" s="86"/>
      <c r="D19" s="87">
        <f t="shared" ref="D19:J19" si="3">D14*D18</f>
        <v>876166.26129242871</v>
      </c>
      <c r="E19" s="87">
        <f t="shared" si="3"/>
        <v>724319.50351994985</v>
      </c>
      <c r="F19" s="87">
        <f t="shared" si="3"/>
        <v>723200.69784732501</v>
      </c>
      <c r="G19" s="87">
        <f t="shared" si="3"/>
        <v>720626.9424690702</v>
      </c>
      <c r="H19" s="87">
        <f t="shared" si="3"/>
        <v>715913.91654649074</v>
      </c>
      <c r="I19" s="87">
        <f t="shared" si="3"/>
        <v>706305.69081171718</v>
      </c>
      <c r="J19" s="87">
        <f t="shared" si="3"/>
        <v>697059.33491936501</v>
      </c>
      <c r="L19" s="6"/>
    </row>
    <row r="20" spans="2:19">
      <c r="B20" s="86" t="s">
        <v>34</v>
      </c>
      <c r="C20" s="86"/>
      <c r="D20" s="457">
        <f>SUM(D19:J19)</f>
        <v>5163592.3474063464</v>
      </c>
      <c r="E20" s="457"/>
      <c r="F20" s="457"/>
      <c r="G20" s="457"/>
      <c r="H20" s="457"/>
      <c r="I20" s="457"/>
      <c r="J20" s="457"/>
      <c r="L20" s="6"/>
    </row>
    <row r="21" spans="2:19">
      <c r="B21" s="86"/>
      <c r="C21" s="86"/>
      <c r="D21" s="87"/>
      <c r="E21" s="87"/>
      <c r="F21" s="87"/>
      <c r="G21" s="87"/>
      <c r="H21" s="87"/>
      <c r="I21" s="87"/>
      <c r="J21" s="87"/>
    </row>
    <row r="22" spans="2:19">
      <c r="B22" s="9" t="s">
        <v>35</v>
      </c>
      <c r="C22" s="9"/>
      <c r="D22" s="458">
        <f>'1.Project Cost and MOF'!D12</f>
        <v>5163592.347406311</v>
      </c>
      <c r="E22" s="458"/>
      <c r="F22" s="458"/>
      <c r="G22" s="458"/>
      <c r="H22" s="458"/>
      <c r="I22" s="458"/>
      <c r="J22" s="458"/>
    </row>
    <row r="23" spans="2:19">
      <c r="F23" s="17">
        <f>D20-D22</f>
        <v>3.5390257835388184E-8</v>
      </c>
    </row>
    <row r="24" spans="2:19" ht="29.45" customHeight="1">
      <c r="B24" s="463" t="s">
        <v>402</v>
      </c>
      <c r="C24" s="463"/>
      <c r="D24" s="463"/>
      <c r="E24" s="463"/>
      <c r="F24" s="463"/>
      <c r="G24" s="463"/>
      <c r="H24" s="463"/>
      <c r="I24" s="463"/>
      <c r="J24" s="463"/>
    </row>
    <row r="25" spans="2:19">
      <c r="K25" s="17"/>
      <c r="L25" s="17"/>
      <c r="M25" s="17"/>
    </row>
    <row r="26" spans="2:19" ht="18.75">
      <c r="B26" s="419" t="s">
        <v>512</v>
      </c>
      <c r="C26" s="419"/>
      <c r="D26" s="419"/>
      <c r="E26" s="419"/>
      <c r="F26" s="419"/>
      <c r="G26" s="419"/>
      <c r="H26" s="419"/>
      <c r="I26" s="419"/>
    </row>
    <row r="27" spans="2:19">
      <c r="K27" s="17"/>
    </row>
    <row r="28" spans="2:19">
      <c r="B28" s="111" t="s">
        <v>0</v>
      </c>
      <c r="C28" s="102" t="s">
        <v>2</v>
      </c>
      <c r="D28" s="102" t="s">
        <v>3</v>
      </c>
      <c r="E28" s="102" t="s">
        <v>4</v>
      </c>
      <c r="F28" s="102" t="s">
        <v>5</v>
      </c>
      <c r="G28" s="102" t="s">
        <v>6</v>
      </c>
      <c r="H28" s="102" t="s">
        <v>168</v>
      </c>
      <c r="I28" s="102" t="s">
        <v>167</v>
      </c>
    </row>
    <row r="29" spans="2:19">
      <c r="B29" s="93"/>
      <c r="C29" s="93"/>
      <c r="D29" s="93"/>
      <c r="E29" s="93"/>
      <c r="F29" s="93"/>
      <c r="G29" s="93"/>
      <c r="H29" s="93"/>
      <c r="I29" s="93"/>
    </row>
    <row r="30" spans="2:19">
      <c r="B30" s="93" t="s">
        <v>37</v>
      </c>
      <c r="C30" s="93"/>
      <c r="D30" s="93"/>
      <c r="E30" s="93"/>
      <c r="F30" s="93"/>
      <c r="G30" s="93"/>
      <c r="H30" s="93"/>
      <c r="I30" s="93"/>
    </row>
    <row r="31" spans="2:19">
      <c r="B31" s="93"/>
      <c r="C31" s="94"/>
      <c r="D31" s="94"/>
      <c r="E31" s="94"/>
      <c r="F31" s="94"/>
      <c r="G31" s="94"/>
      <c r="H31" s="94"/>
      <c r="I31" s="94"/>
    </row>
    <row r="32" spans="2:19">
      <c r="B32" s="108" t="str">
        <f>'6.Cons Profit &amp; Loss'!A8</f>
        <v>Faclitiy 1 - Cleaning &amp; Grading</v>
      </c>
      <c r="C32" s="94">
        <f>'6.Cons Profit &amp; Loss'!B8</f>
        <v>38669305.040325001</v>
      </c>
      <c r="D32" s="94">
        <f>'6.Cons Profit &amp; Loss'!C8</f>
        <v>46793696.527627878</v>
      </c>
      <c r="E32" s="94">
        <f>'6.Cons Profit &amp; Loss'!D8</f>
        <v>53620390.401340619</v>
      </c>
      <c r="F32" s="94">
        <f>'6.Cons Profit &amp; Loss'!E8</f>
        <v>61012769.421105556</v>
      </c>
      <c r="G32" s="94">
        <f>'6.Cons Profit &amp; Loss'!F8</f>
        <v>69010335.366843656</v>
      </c>
      <c r="H32" s="94">
        <f>'6.Cons Profit &amp; Loss'!G8</f>
        <v>77655125.983602792</v>
      </c>
      <c r="I32" s="94">
        <f>'6.Cons Profit &amp; Loss'!H8</f>
        <v>86991869.823620722</v>
      </c>
    </row>
    <row r="33" spans="2:10">
      <c r="B33" s="108" t="str">
        <f>'6.Cons Profit &amp; Loss'!A9</f>
        <v>Faclitiy 2 - Processing Unit- Atta Mill</v>
      </c>
      <c r="C33" s="94">
        <f>'6.Cons Profit &amp; Loss'!B9</f>
        <v>8780273.7299999986</v>
      </c>
      <c r="D33" s="94">
        <f>'6.Cons Profit &amp; Loss'!C9</f>
        <v>9833906.5775999986</v>
      </c>
      <c r="E33" s="94">
        <f>'6.Cons Profit &amp; Loss'!D9</f>
        <v>10970952.025634997</v>
      </c>
      <c r="F33" s="94">
        <f>'6.Cons Profit &amp; Loss'!E9</f>
        <v>12197117.252029499</v>
      </c>
      <c r="G33" s="94">
        <f>'6.Cons Profit &amp; Loss'!F9</f>
        <v>13518471.620999362</v>
      </c>
      <c r="H33" s="94">
        <f>'6.Cons Profit &amp; Loss'!G9</f>
        <v>14941468.633736139</v>
      </c>
      <c r="I33" s="94">
        <f>'6.Cons Profit &amp; Loss'!H9</f>
        <v>16472969.168694096</v>
      </c>
    </row>
    <row r="34" spans="2:10">
      <c r="B34" s="108" t="str">
        <f>'6.Cons Profit &amp; Loss'!A10</f>
        <v>Faclitiy 3 - Warehouse</v>
      </c>
      <c r="C34" s="94">
        <f>'6.Cons Profit &amp; Loss'!B10</f>
        <v>0</v>
      </c>
      <c r="D34" s="94">
        <f>'6.Cons Profit &amp; Loss'!C10</f>
        <v>0</v>
      </c>
      <c r="E34" s="94">
        <f>'6.Cons Profit &amp; Loss'!D10</f>
        <v>0</v>
      </c>
      <c r="F34" s="94">
        <f>'6.Cons Profit &amp; Loss'!E10</f>
        <v>0</v>
      </c>
      <c r="G34" s="94">
        <f>'6.Cons Profit &amp; Loss'!F10</f>
        <v>0</v>
      </c>
      <c r="H34" s="94">
        <f>'6.Cons Profit &amp; Loss'!G10</f>
        <v>0</v>
      </c>
      <c r="I34" s="94">
        <f>'6.Cons Profit &amp; Loss'!H10</f>
        <v>0</v>
      </c>
    </row>
    <row r="35" spans="2:10">
      <c r="B35" s="108"/>
      <c r="C35" s="108"/>
      <c r="D35" s="108"/>
      <c r="E35" s="108"/>
      <c r="F35" s="108"/>
      <c r="G35" s="108"/>
      <c r="H35" s="108"/>
      <c r="I35" s="108"/>
    </row>
    <row r="36" spans="2:10">
      <c r="B36" s="93" t="s">
        <v>8</v>
      </c>
      <c r="C36" s="94">
        <f t="shared" ref="C36:I36" si="4">SUM(C32:C35)</f>
        <v>47449578.770324998</v>
      </c>
      <c r="D36" s="94">
        <f t="shared" si="4"/>
        <v>56627603.105227873</v>
      </c>
      <c r="E36" s="94">
        <f t="shared" si="4"/>
        <v>64591342.426975615</v>
      </c>
      <c r="F36" s="94">
        <f t="shared" si="4"/>
        <v>73209886.673135057</v>
      </c>
      <c r="G36" s="94">
        <f t="shared" si="4"/>
        <v>82528806.987843022</v>
      </c>
      <c r="H36" s="94">
        <f t="shared" si="4"/>
        <v>92596594.617338926</v>
      </c>
      <c r="I36" s="94">
        <f t="shared" si="4"/>
        <v>103464838.99231482</v>
      </c>
    </row>
    <row r="37" spans="2:10">
      <c r="B37" s="93"/>
      <c r="C37" s="94"/>
      <c r="D37" s="94"/>
      <c r="E37" s="94"/>
      <c r="F37" s="94"/>
      <c r="G37" s="94"/>
      <c r="H37" s="94"/>
      <c r="I37" s="94"/>
    </row>
    <row r="38" spans="2:10">
      <c r="B38" s="93" t="s">
        <v>38</v>
      </c>
      <c r="C38" s="94">
        <f>'6.Cons Profit &amp; Loss'!B19</f>
        <v>45582697.40318726</v>
      </c>
      <c r="D38" s="94">
        <f>'6.Cons Profit &amp; Loss'!C19</f>
        <v>54759905.453569688</v>
      </c>
      <c r="E38" s="94">
        <f>'6.Cons Profit &amp; Loss'!D19</f>
        <v>62470383.430263139</v>
      </c>
      <c r="F38" s="94">
        <f>'6.Cons Profit &amp; Loss'!E19</f>
        <v>70815009.440992042</v>
      </c>
      <c r="G38" s="94">
        <f>'6.Cons Profit &amp; Loss'!F19</f>
        <v>79837922.094218165</v>
      </c>
      <c r="H38" s="94">
        <f>'6.Cons Profit &amp; Loss'!G19</f>
        <v>89586088.489164442</v>
      </c>
      <c r="I38" s="94">
        <f>'6.Cons Profit &amp; Loss'!H19</f>
        <v>100109476.71836981</v>
      </c>
    </row>
    <row r="39" spans="2:10">
      <c r="B39" s="93"/>
      <c r="C39" s="94"/>
      <c r="D39" s="94"/>
      <c r="E39" s="94"/>
      <c r="F39" s="94"/>
      <c r="G39" s="94"/>
      <c r="H39" s="94"/>
      <c r="I39" s="94"/>
    </row>
    <row r="40" spans="2:10">
      <c r="B40" s="95" t="s">
        <v>39</v>
      </c>
      <c r="C40" s="113">
        <f>C36-C38</f>
        <v>1866881.3671377376</v>
      </c>
      <c r="D40" s="113">
        <f t="shared" ref="D40:I40" si="5">D36-D38</f>
        <v>1867697.6516581848</v>
      </c>
      <c r="E40" s="113">
        <f t="shared" si="5"/>
        <v>2120958.996712476</v>
      </c>
      <c r="F40" s="113">
        <f t="shared" si="5"/>
        <v>2394877.2321430147</v>
      </c>
      <c r="G40" s="113">
        <f t="shared" si="5"/>
        <v>2690884.8936248571</v>
      </c>
      <c r="H40" s="113">
        <f t="shared" si="5"/>
        <v>3010506.1281744838</v>
      </c>
      <c r="I40" s="113">
        <f t="shared" si="5"/>
        <v>3355362.2739450037</v>
      </c>
    </row>
    <row r="41" spans="2:10">
      <c r="B41" s="93"/>
      <c r="C41" s="94"/>
      <c r="D41" s="94"/>
      <c r="E41" s="94"/>
      <c r="F41" s="94"/>
      <c r="G41" s="94"/>
      <c r="H41" s="94"/>
      <c r="I41" s="94"/>
    </row>
    <row r="42" spans="2:10">
      <c r="B42" s="95" t="s">
        <v>41</v>
      </c>
      <c r="C42" s="113">
        <f>'6.Cons Profit &amp; Loss'!B27+'6.Cons Profit &amp; Loss'!B33+'6.Cons Profit &amp; Loss'!B34</f>
        <v>988490.75735714287</v>
      </c>
      <c r="D42" s="113">
        <f>'6.Cons Profit &amp; Loss'!C27+'6.Cons Profit &amp; Loss'!C33+'6.Cons Profit &amp; Loss'!C34</f>
        <v>1030881.4213749999</v>
      </c>
      <c r="E42" s="113">
        <f>'6.Cons Profit &amp; Loss'!D27+'6.Cons Profit &amp; Loss'!D33+'6.Cons Profit &amp; Loss'!D34</f>
        <v>1075686.562375</v>
      </c>
      <c r="F42" s="113">
        <f>'6.Cons Profit &amp; Loss'!E27+'6.Cons Profit &amp; Loss'!E33+'6.Cons Profit &amp; Loss'!E34</f>
        <v>1123041.6513953125</v>
      </c>
      <c r="G42" s="113">
        <f>'6.Cons Profit &amp; Loss'!F27+'6.Cons Profit &amp; Loss'!F33+'6.Cons Profit &amp; Loss'!F34</f>
        <v>1173089.6703854688</v>
      </c>
      <c r="H42" s="113">
        <f>'6.Cons Profit &amp; Loss'!G27+'6.Cons Profit &amp; Loss'!G33+'6.Cons Profit &amp; Loss'!G34</f>
        <v>1204581.5246199025</v>
      </c>
      <c r="I42" s="113">
        <f>'6.Cons Profit &amp; Loss'!H27+'6.Cons Profit &amp; Loss'!H33+'6.Cons Profit &amp; Loss'!H34</f>
        <v>1260476.4775755659</v>
      </c>
    </row>
    <row r="43" spans="2:10">
      <c r="B43" s="93"/>
      <c r="C43" s="93"/>
      <c r="D43" s="93"/>
      <c r="E43" s="93"/>
      <c r="F43" s="93"/>
      <c r="G43" s="93"/>
      <c r="H43" s="93"/>
      <c r="I43" s="93"/>
    </row>
    <row r="44" spans="2:10">
      <c r="B44" s="93" t="s">
        <v>40</v>
      </c>
      <c r="C44" s="112">
        <f>C42/C40</f>
        <v>0.52948771933627237</v>
      </c>
      <c r="D44" s="112">
        <f>D42/D40</f>
        <v>0.55195305324700694</v>
      </c>
      <c r="E44" s="112">
        <f>E42/E40</f>
        <v>0.50716990005103035</v>
      </c>
      <c r="F44" s="112">
        <f>F42/F40</f>
        <v>0.46893495679959263</v>
      </c>
      <c r="G44" s="112">
        <f>G42/G40</f>
        <v>0.4359494057752929</v>
      </c>
      <c r="H44" s="112">
        <f t="shared" ref="H44:I44" si="6">H42/H40</f>
        <v>0.4001259168172957</v>
      </c>
      <c r="I44" s="112">
        <f t="shared" si="6"/>
        <v>0.37566032358514434</v>
      </c>
    </row>
    <row r="45" spans="2:10">
      <c r="B45" s="92"/>
      <c r="C45" s="92"/>
      <c r="D45" s="92"/>
      <c r="E45" s="92"/>
      <c r="F45" s="92"/>
      <c r="G45" s="92"/>
      <c r="H45" s="92"/>
      <c r="I45" s="92"/>
    </row>
    <row r="46" spans="2:10">
      <c r="B46" s="114" t="s">
        <v>133</v>
      </c>
      <c r="C46" s="115">
        <f>AVERAGE(C44:I44)</f>
        <v>0.46704018223023358</v>
      </c>
      <c r="D46" s="92"/>
      <c r="E46" s="92"/>
      <c r="F46" s="92"/>
      <c r="G46" s="92"/>
      <c r="H46" s="92"/>
      <c r="I46" s="92"/>
    </row>
    <row r="48" spans="2:10" ht="41.45" customHeight="1">
      <c r="B48" s="464" t="s">
        <v>403</v>
      </c>
      <c r="C48" s="464"/>
      <c r="D48" s="464"/>
      <c r="E48" s="464"/>
      <c r="F48" s="464"/>
      <c r="G48" s="464"/>
      <c r="H48" s="464"/>
      <c r="I48" s="464"/>
      <c r="J48" s="464"/>
    </row>
    <row r="51" spans="2:9" ht="18.75">
      <c r="B51" s="419" t="s">
        <v>513</v>
      </c>
      <c r="C51" s="419"/>
      <c r="D51" s="419"/>
      <c r="E51" s="419"/>
      <c r="F51" s="419"/>
      <c r="G51" s="419"/>
      <c r="H51" s="419"/>
      <c r="I51" s="419"/>
    </row>
    <row r="53" spans="2:9">
      <c r="B53" s="80" t="s">
        <v>29</v>
      </c>
      <c r="C53" s="81" t="s">
        <v>2</v>
      </c>
      <c r="D53" s="81" t="s">
        <v>3</v>
      </c>
      <c r="E53" s="81" t="s">
        <v>4</v>
      </c>
      <c r="F53" s="81" t="s">
        <v>5</v>
      </c>
      <c r="G53" s="81" t="s">
        <v>6</v>
      </c>
      <c r="H53" s="81" t="s">
        <v>168</v>
      </c>
      <c r="I53" s="81" t="s">
        <v>167</v>
      </c>
    </row>
    <row r="54" spans="2:9">
      <c r="B54" s="93"/>
      <c r="C54" s="93"/>
      <c r="D54" s="93"/>
      <c r="E54" s="93"/>
      <c r="F54" s="93"/>
      <c r="G54" s="93"/>
      <c r="H54" s="93"/>
      <c r="I54" s="93"/>
    </row>
    <row r="55" spans="2:9">
      <c r="B55" s="93" t="s">
        <v>354</v>
      </c>
      <c r="C55" s="325">
        <f>'6.Cons Profit &amp; Loss'!B42</f>
        <v>743576.83996764093</v>
      </c>
      <c r="D55" s="325">
        <f>'6.Cons Profit &amp; Loss'!C42</f>
        <v>689094.39373955841</v>
      </c>
      <c r="E55" s="325">
        <f>'6.Cons Profit &amp; Loss'!D42</f>
        <v>823785.01159973198</v>
      </c>
      <c r="F55" s="325">
        <f>'6.Cons Profit &amp; Loss'!E42</f>
        <v>975123.3951992942</v>
      </c>
      <c r="G55" s="325">
        <f>'6.Cons Profit &amp; Loss'!F42</f>
        <v>1143413.1876652511</v>
      </c>
      <c r="H55" s="325">
        <f>'6.Cons Profit &amp; Loss'!G42</f>
        <v>1345022.6781395227</v>
      </c>
      <c r="I55" s="325">
        <f>'6.Cons Profit &amp; Loss'!H42</f>
        <v>1548991.5733363414</v>
      </c>
    </row>
    <row r="56" spans="2:9">
      <c r="B56" s="93"/>
      <c r="C56" s="325"/>
      <c r="D56" s="325"/>
      <c r="E56" s="325"/>
      <c r="F56" s="325"/>
      <c r="G56" s="325"/>
      <c r="H56" s="325"/>
      <c r="I56" s="325"/>
    </row>
    <row r="57" spans="2:9">
      <c r="B57" s="93" t="s">
        <v>42</v>
      </c>
      <c r="C57" s="325">
        <f>'6.Cons Profit &amp; Loss'!B33</f>
        <v>237254.98949999997</v>
      </c>
      <c r="D57" s="325">
        <f>'6.Cons Profit &amp; Loss'!C33</f>
        <v>237254.98949999997</v>
      </c>
      <c r="E57" s="325">
        <f>'6.Cons Profit &amp; Loss'!D33</f>
        <v>237254.98949999997</v>
      </c>
      <c r="F57" s="325">
        <f>'6.Cons Profit &amp; Loss'!E33</f>
        <v>237254.98949999997</v>
      </c>
      <c r="G57" s="325">
        <f>'6.Cons Profit &amp; Loss'!F33</f>
        <v>237254.98949999997</v>
      </c>
      <c r="H57" s="325">
        <f>'6.Cons Profit &amp; Loss'!G33</f>
        <v>237254.98949999997</v>
      </c>
      <c r="I57" s="325">
        <f>'6.Cons Profit &amp; Loss'!H33</f>
        <v>237254.98949999997</v>
      </c>
    </row>
    <row r="58" spans="2:9">
      <c r="B58" s="107" t="s">
        <v>48</v>
      </c>
      <c r="C58" s="325">
        <f>'6.Cons Profit &amp; Loss'!B34</f>
        <v>21400</v>
      </c>
      <c r="D58" s="325">
        <f>'6.Cons Profit &amp; Loss'!C34</f>
        <v>21400</v>
      </c>
      <c r="E58" s="325">
        <f>'6.Cons Profit &amp; Loss'!D34</f>
        <v>21400</v>
      </c>
      <c r="F58" s="325">
        <f>'6.Cons Profit &amp; Loss'!E34</f>
        <v>21400</v>
      </c>
      <c r="G58" s="325">
        <f>'6.Cons Profit &amp; Loss'!F34</f>
        <v>21400</v>
      </c>
      <c r="H58" s="325">
        <f>'6.Cons Profit &amp; Loss'!G34</f>
        <v>0</v>
      </c>
      <c r="I58" s="325">
        <f>'6.Cons Profit &amp; Loss'!H34</f>
        <v>0</v>
      </c>
    </row>
    <row r="59" spans="2:9">
      <c r="B59" s="93"/>
      <c r="C59" s="325"/>
      <c r="D59" s="325"/>
      <c r="E59" s="325"/>
      <c r="F59" s="325"/>
      <c r="G59" s="325"/>
      <c r="H59" s="325"/>
      <c r="I59" s="325"/>
    </row>
    <row r="60" spans="2:9">
      <c r="B60" s="93" t="s">
        <v>32</v>
      </c>
      <c r="C60" s="325">
        <f>SUM(C55:C58)</f>
        <v>1002231.829467641</v>
      </c>
      <c r="D60" s="325">
        <f t="shared" ref="D60:I60" si="7">SUM(D55:D58)</f>
        <v>947749.38323955843</v>
      </c>
      <c r="E60" s="325">
        <f t="shared" si="7"/>
        <v>1082440.001099732</v>
      </c>
      <c r="F60" s="325">
        <f t="shared" si="7"/>
        <v>1233778.3846992941</v>
      </c>
      <c r="G60" s="325">
        <f t="shared" si="7"/>
        <v>1402068.177165251</v>
      </c>
      <c r="H60" s="325">
        <f t="shared" si="7"/>
        <v>1582277.6676395226</v>
      </c>
      <c r="I60" s="325">
        <f t="shared" si="7"/>
        <v>1786246.5628363413</v>
      </c>
    </row>
    <row r="61" spans="2:9">
      <c r="B61" s="93"/>
      <c r="C61" s="93"/>
      <c r="D61" s="93"/>
      <c r="E61" s="93"/>
      <c r="F61" s="93"/>
      <c r="G61" s="93"/>
      <c r="H61" s="93"/>
      <c r="I61" s="93"/>
    </row>
    <row r="62" spans="2:9" ht="16.5">
      <c r="B62" s="11" t="s">
        <v>43</v>
      </c>
      <c r="C62" s="108">
        <f>1/1.1</f>
        <v>0.90909090909090906</v>
      </c>
      <c r="D62" s="108">
        <f t="shared" ref="D62:I62" si="8">C62/1.1</f>
        <v>0.82644628099173545</v>
      </c>
      <c r="E62" s="108">
        <f t="shared" si="8"/>
        <v>0.75131480090157765</v>
      </c>
      <c r="F62" s="108">
        <f t="shared" si="8"/>
        <v>0.68301345536507052</v>
      </c>
      <c r="G62" s="108">
        <f t="shared" si="8"/>
        <v>0.62092132305915493</v>
      </c>
      <c r="H62" s="108">
        <f t="shared" si="8"/>
        <v>0.56447393005377711</v>
      </c>
      <c r="I62" s="108">
        <f t="shared" si="8"/>
        <v>0.51315811823070645</v>
      </c>
    </row>
    <row r="63" spans="2:9">
      <c r="B63" s="93"/>
      <c r="C63" s="93"/>
      <c r="D63" s="93"/>
      <c r="E63" s="93"/>
      <c r="F63" s="93"/>
      <c r="G63" s="93"/>
      <c r="H63" s="93"/>
      <c r="I63" s="93"/>
    </row>
    <row r="64" spans="2:9" ht="16.5">
      <c r="B64" s="11" t="s">
        <v>44</v>
      </c>
      <c r="C64" s="94">
        <f>C60*C62</f>
        <v>911119.84497058264</v>
      </c>
      <c r="D64" s="94">
        <f t="shared" ref="D64:I64" si="9">D60*D62</f>
        <v>783263.95309054409</v>
      </c>
      <c r="E64" s="94">
        <f t="shared" si="9"/>
        <v>813253.19391414861</v>
      </c>
      <c r="F64" s="94">
        <f t="shared" si="9"/>
        <v>842687.23768820008</v>
      </c>
      <c r="G64" s="94">
        <f t="shared" si="9"/>
        <v>870574.02758458524</v>
      </c>
      <c r="H64" s="94">
        <f t="shared" si="9"/>
        <v>893154.49348880548</v>
      </c>
      <c r="I64" s="94">
        <f t="shared" si="9"/>
        <v>916626.92488116422</v>
      </c>
    </row>
    <row r="65" spans="2:10">
      <c r="B65" s="92"/>
      <c r="C65" s="110"/>
      <c r="D65" s="110"/>
      <c r="E65" s="110"/>
      <c r="F65" s="110"/>
      <c r="G65" s="110"/>
      <c r="H65" s="110"/>
      <c r="I65" s="110"/>
    </row>
    <row r="66" spans="2:10" ht="16.5">
      <c r="B66" s="12" t="s">
        <v>45</v>
      </c>
      <c r="C66" s="110">
        <f>SUM(C64:I64)</f>
        <v>6030679.6756180301</v>
      </c>
      <c r="D66" s="110"/>
      <c r="E66" s="110"/>
      <c r="F66" s="110"/>
      <c r="G66" s="110"/>
      <c r="H66" s="110"/>
      <c r="I66" s="110"/>
    </row>
    <row r="67" spans="2:10">
      <c r="B67" s="92"/>
      <c r="C67" s="110"/>
      <c r="D67" s="110"/>
      <c r="E67" s="110"/>
      <c r="F67" s="110"/>
      <c r="G67" s="110"/>
      <c r="H67" s="110"/>
      <c r="I67" s="110"/>
    </row>
    <row r="68" spans="2:10" ht="16.5">
      <c r="B68" s="12" t="s">
        <v>46</v>
      </c>
      <c r="C68" s="110">
        <f>'1.Project Cost and MOF'!D12</f>
        <v>5163592.347406311</v>
      </c>
      <c r="D68" s="110"/>
      <c r="E68" s="110"/>
      <c r="F68" s="110"/>
      <c r="G68" s="110"/>
      <c r="H68" s="110"/>
      <c r="I68" s="110"/>
    </row>
    <row r="69" spans="2:10">
      <c r="B69" s="92"/>
      <c r="C69" s="109"/>
      <c r="D69" s="92"/>
      <c r="E69" s="92"/>
      <c r="F69" s="92"/>
      <c r="G69" s="92"/>
      <c r="H69" s="92"/>
      <c r="I69" s="92"/>
    </row>
    <row r="70" spans="2:10" ht="16.5">
      <c r="B70" s="12" t="s">
        <v>47</v>
      </c>
      <c r="C70" s="109">
        <f>C66-C68</f>
        <v>867087.32821171917</v>
      </c>
      <c r="D70" s="92"/>
      <c r="E70" s="92"/>
      <c r="F70" s="92"/>
      <c r="G70" s="92"/>
      <c r="H70" s="92"/>
      <c r="I70" s="92"/>
    </row>
    <row r="72" spans="2:10" ht="35.1" customHeight="1">
      <c r="B72" s="424" t="s">
        <v>404</v>
      </c>
      <c r="C72" s="424"/>
      <c r="D72" s="424"/>
      <c r="E72" s="424"/>
      <c r="F72" s="424"/>
      <c r="G72" s="424"/>
      <c r="H72" s="424"/>
      <c r="I72" s="424"/>
      <c r="J72" s="424"/>
    </row>
    <row r="73" spans="2:10" ht="18.75">
      <c r="B73" s="419" t="s">
        <v>514</v>
      </c>
      <c r="C73" s="419"/>
      <c r="D73" s="419"/>
      <c r="E73" s="419"/>
      <c r="F73" s="419"/>
      <c r="G73" s="419"/>
      <c r="H73" s="419"/>
      <c r="I73" s="419"/>
    </row>
    <row r="74" spans="2:10">
      <c r="B74" s="92"/>
      <c r="C74" s="92"/>
      <c r="D74" s="92"/>
      <c r="E74" s="92"/>
      <c r="F74" s="92"/>
      <c r="G74" s="92"/>
      <c r="H74" s="92"/>
      <c r="I74" s="92"/>
    </row>
    <row r="75" spans="2:10" ht="15.75">
      <c r="B75" s="70" t="s">
        <v>0</v>
      </c>
      <c r="C75" s="70" t="s">
        <v>2</v>
      </c>
      <c r="D75" s="70" t="s">
        <v>3</v>
      </c>
      <c r="E75" s="70" t="s">
        <v>4</v>
      </c>
      <c r="F75" s="70" t="s">
        <v>5</v>
      </c>
      <c r="G75" s="70" t="s">
        <v>6</v>
      </c>
      <c r="H75" s="70" t="s">
        <v>168</v>
      </c>
      <c r="I75" s="70" t="s">
        <v>167</v>
      </c>
    </row>
    <row r="76" spans="2:10" ht="15.75">
      <c r="B76" s="67"/>
      <c r="C76" s="68"/>
      <c r="D76" s="68"/>
      <c r="E76" s="68"/>
      <c r="F76" s="68"/>
      <c r="G76" s="68"/>
      <c r="H76" s="68"/>
      <c r="I76" s="68"/>
    </row>
    <row r="77" spans="2:10">
      <c r="B77" s="95" t="s">
        <v>27</v>
      </c>
      <c r="C77" s="94">
        <f>'6.Cons Profit &amp; Loss'!B42</f>
        <v>743576.83996764093</v>
      </c>
      <c r="D77" s="94">
        <f>'6.Cons Profit &amp; Loss'!C42</f>
        <v>689094.39373955841</v>
      </c>
      <c r="E77" s="94">
        <f>'6.Cons Profit &amp; Loss'!D42</f>
        <v>823785.01159973198</v>
      </c>
      <c r="F77" s="94">
        <f>'6.Cons Profit &amp; Loss'!E42</f>
        <v>975123.3951992942</v>
      </c>
      <c r="G77" s="94">
        <f>'6.Cons Profit &amp; Loss'!F42</f>
        <v>1143413.1876652511</v>
      </c>
      <c r="H77" s="94">
        <f>'6.Cons Profit &amp; Loss'!G42</f>
        <v>1345022.6781395227</v>
      </c>
      <c r="I77" s="94">
        <f>'6.Cons Profit &amp; Loss'!H42</f>
        <v>1548991.5733363414</v>
      </c>
    </row>
    <row r="78" spans="2:10">
      <c r="B78" s="93"/>
      <c r="C78" s="93"/>
      <c r="D78" s="93"/>
      <c r="E78" s="93"/>
      <c r="F78" s="93"/>
      <c r="G78" s="93"/>
      <c r="H78" s="93"/>
      <c r="I78" s="93"/>
    </row>
    <row r="79" spans="2:10">
      <c r="B79" s="95" t="s">
        <v>124</v>
      </c>
      <c r="C79" s="460">
        <f>AVERAGE(C77:I77)</f>
        <v>1038429.582806763</v>
      </c>
      <c r="D79" s="460"/>
      <c r="E79" s="460"/>
      <c r="F79" s="460"/>
      <c r="G79" s="460"/>
      <c r="H79" s="460"/>
      <c r="I79" s="460"/>
    </row>
    <row r="80" spans="2:10">
      <c r="B80" s="95" t="s">
        <v>125</v>
      </c>
      <c r="C80" s="460">
        <f>'1.Project Cost and MOF'!D12</f>
        <v>5163592.347406311</v>
      </c>
      <c r="D80" s="460"/>
      <c r="E80" s="460"/>
      <c r="F80" s="460"/>
      <c r="G80" s="460"/>
      <c r="H80" s="460"/>
      <c r="I80" s="460"/>
    </row>
    <row r="81" spans="2:10">
      <c r="B81" s="93"/>
      <c r="C81" s="93"/>
      <c r="D81" s="93"/>
      <c r="E81" s="93"/>
      <c r="F81" s="93"/>
      <c r="G81" s="93"/>
      <c r="H81" s="93"/>
      <c r="I81" s="93"/>
    </row>
    <row r="82" spans="2:10">
      <c r="B82" s="262"/>
      <c r="C82" s="461">
        <f>C79/C80</f>
        <v>0.20110603489610668</v>
      </c>
      <c r="D82" s="461"/>
      <c r="E82" s="461"/>
      <c r="F82" s="461"/>
      <c r="G82" s="461"/>
      <c r="H82" s="461"/>
      <c r="I82" s="461"/>
    </row>
    <row r="85" spans="2:10">
      <c r="B85" s="459" t="s">
        <v>630</v>
      </c>
      <c r="C85" s="459"/>
      <c r="D85" s="459"/>
      <c r="E85" s="459"/>
      <c r="F85" s="459"/>
      <c r="G85" s="459"/>
      <c r="H85" s="459"/>
      <c r="I85" s="459"/>
    </row>
    <row r="87" spans="2:10" ht="18.75">
      <c r="B87" s="419" t="s">
        <v>515</v>
      </c>
      <c r="C87" s="419"/>
      <c r="D87" s="419"/>
      <c r="E87" s="419"/>
      <c r="F87" s="419"/>
      <c r="G87" s="419"/>
      <c r="H87" s="419"/>
      <c r="I87" s="419"/>
      <c r="J87" s="419"/>
    </row>
    <row r="89" spans="2:10">
      <c r="B89" s="102" t="s">
        <v>0</v>
      </c>
      <c r="C89" s="102" t="s">
        <v>314</v>
      </c>
      <c r="D89" s="102" t="s">
        <v>2</v>
      </c>
      <c r="E89" s="102" t="s">
        <v>3</v>
      </c>
      <c r="F89" s="102" t="s">
        <v>4</v>
      </c>
      <c r="G89" s="102" t="s">
        <v>5</v>
      </c>
      <c r="H89" s="102" t="s">
        <v>6</v>
      </c>
      <c r="I89" s="102" t="s">
        <v>168</v>
      </c>
      <c r="J89" s="102" t="s">
        <v>167</v>
      </c>
    </row>
    <row r="90" spans="2:10">
      <c r="B90" s="103"/>
      <c r="C90" s="103"/>
      <c r="D90" s="104"/>
      <c r="E90" s="104"/>
      <c r="F90" s="104"/>
      <c r="G90" s="104"/>
      <c r="H90" s="104"/>
      <c r="I90" s="104"/>
      <c r="J90" s="104"/>
    </row>
    <row r="91" spans="2:10">
      <c r="B91" s="23" t="s">
        <v>270</v>
      </c>
      <c r="C91" s="105">
        <f>'1.Project Cost and MOF'!D12</f>
        <v>5163592.347406311</v>
      </c>
      <c r="D91" s="104"/>
      <c r="E91" s="104"/>
      <c r="F91" s="104"/>
      <c r="G91" s="104"/>
      <c r="H91" s="104"/>
      <c r="I91" s="104"/>
      <c r="J91" s="104"/>
    </row>
    <row r="92" spans="2:10">
      <c r="B92" s="24" t="str">
        <f>B55</f>
        <v>Profit after Tax &amp; Dividend</v>
      </c>
      <c r="C92" s="24"/>
      <c r="D92" s="25">
        <f>'6.Cons Profit &amp; Loss'!B42</f>
        <v>743576.83996764093</v>
      </c>
      <c r="E92" s="25">
        <f>'6.Cons Profit &amp; Loss'!C42</f>
        <v>689094.39373955841</v>
      </c>
      <c r="F92" s="25">
        <f>'6.Cons Profit &amp; Loss'!D42</f>
        <v>823785.01159973198</v>
      </c>
      <c r="G92" s="25">
        <f>'6.Cons Profit &amp; Loss'!E42</f>
        <v>975123.3951992942</v>
      </c>
      <c r="H92" s="25">
        <f>'6.Cons Profit &amp; Loss'!F42</f>
        <v>1143413.1876652511</v>
      </c>
      <c r="I92" s="25">
        <f>'6.Cons Profit &amp; Loss'!G42</f>
        <v>1345022.6781395227</v>
      </c>
      <c r="J92" s="25">
        <f>'6.Cons Profit &amp; Loss'!H42</f>
        <v>1548991.5733363414</v>
      </c>
    </row>
    <row r="93" spans="2:10">
      <c r="B93" s="24" t="str">
        <f>B57</f>
        <v>Add: Deprication</v>
      </c>
      <c r="C93" s="24"/>
      <c r="D93" s="90">
        <f>'6.Cons Profit &amp; Loss'!B33</f>
        <v>237254.98949999997</v>
      </c>
      <c r="E93" s="90">
        <f>'6.Cons Profit &amp; Loss'!C33</f>
        <v>237254.98949999997</v>
      </c>
      <c r="F93" s="90">
        <f>'6.Cons Profit &amp; Loss'!D33</f>
        <v>237254.98949999997</v>
      </c>
      <c r="G93" s="90">
        <f>'6.Cons Profit &amp; Loss'!E33</f>
        <v>237254.98949999997</v>
      </c>
      <c r="H93" s="90">
        <f>'6.Cons Profit &amp; Loss'!F33</f>
        <v>237254.98949999997</v>
      </c>
      <c r="I93" s="90">
        <f>'6.Cons Profit &amp; Loss'!G33</f>
        <v>237254.98949999997</v>
      </c>
      <c r="J93" s="90">
        <f>'6.Cons Profit &amp; Loss'!H33</f>
        <v>237254.98949999997</v>
      </c>
    </row>
    <row r="94" spans="2:10">
      <c r="B94" s="24" t="str">
        <f>B58</f>
        <v>Add. Preliminary exp Written off</v>
      </c>
      <c r="C94" s="24"/>
      <c r="D94" s="90">
        <f>'6.Cons Profit &amp; Loss'!B34</f>
        <v>21400</v>
      </c>
      <c r="E94" s="90">
        <f>'6.Cons Profit &amp; Loss'!C34</f>
        <v>21400</v>
      </c>
      <c r="F94" s="90">
        <f>'6.Cons Profit &amp; Loss'!D34</f>
        <v>21400</v>
      </c>
      <c r="G94" s="90">
        <f>'6.Cons Profit &amp; Loss'!E34</f>
        <v>21400</v>
      </c>
      <c r="H94" s="90">
        <f>'6.Cons Profit &amp; Loss'!F34</f>
        <v>21400</v>
      </c>
      <c r="I94" s="90">
        <f>'6.Cons Profit &amp; Loss'!G34</f>
        <v>0</v>
      </c>
      <c r="J94" s="90">
        <f>'6.Cons Profit &amp; Loss'!H34</f>
        <v>0</v>
      </c>
    </row>
    <row r="95" spans="2:10">
      <c r="B95" s="24" t="str">
        <f>B60</f>
        <v xml:space="preserve">Net Cash Accrual (A)      </v>
      </c>
      <c r="C95" s="24"/>
      <c r="D95" s="261">
        <f>SUM(D92:D94)</f>
        <v>1002231.829467641</v>
      </c>
      <c r="E95" s="261">
        <f t="shared" ref="E95:J95" si="10">SUM(E92:E94)</f>
        <v>947749.38323955843</v>
      </c>
      <c r="F95" s="261">
        <f t="shared" si="10"/>
        <v>1082440.001099732</v>
      </c>
      <c r="G95" s="261">
        <f t="shared" si="10"/>
        <v>1233778.3846992941</v>
      </c>
      <c r="H95" s="261">
        <f t="shared" si="10"/>
        <v>1402068.177165251</v>
      </c>
      <c r="I95" s="261">
        <f t="shared" si="10"/>
        <v>1582277.6676395226</v>
      </c>
      <c r="J95" s="261">
        <f t="shared" si="10"/>
        <v>1786246.5628363413</v>
      </c>
    </row>
    <row r="96" spans="2:10">
      <c r="B96" s="23" t="s">
        <v>271</v>
      </c>
      <c r="C96" s="106"/>
      <c r="D96" s="69">
        <f>D95-C91</f>
        <v>-4161360.5179386698</v>
      </c>
      <c r="E96" s="69">
        <f>D96+E95</f>
        <v>-3213611.1346991113</v>
      </c>
      <c r="F96" s="69">
        <f>E96+F95</f>
        <v>-2131171.1335993791</v>
      </c>
      <c r="G96" s="69">
        <f>F96+G95</f>
        <v>-897392.74890008499</v>
      </c>
      <c r="H96" s="69">
        <f>G96+H95</f>
        <v>504675.428265166</v>
      </c>
      <c r="I96" s="91"/>
      <c r="J96" s="91"/>
    </row>
    <row r="97" spans="2:10">
      <c r="B97" s="7"/>
      <c r="C97" s="7"/>
      <c r="D97" s="7"/>
      <c r="E97" s="7"/>
      <c r="F97" s="7"/>
      <c r="G97" s="7"/>
      <c r="H97" s="7"/>
      <c r="I97" s="7"/>
      <c r="J97" s="7"/>
    </row>
    <row r="98" spans="2:10">
      <c r="B98" s="26" t="s">
        <v>272</v>
      </c>
      <c r="C98" s="7"/>
      <c r="D98" s="62">
        <f>4+(-G96/H95)</f>
        <v>4.6400492954019281</v>
      </c>
      <c r="E98" s="7"/>
      <c r="F98" s="7"/>
      <c r="G98" s="7"/>
      <c r="H98" s="7"/>
      <c r="I98" s="7"/>
      <c r="J98" s="7"/>
    </row>
    <row r="99" spans="2:10">
      <c r="B99" s="7"/>
      <c r="C99" s="7"/>
      <c r="D99" s="7"/>
      <c r="E99" s="7"/>
      <c r="F99" s="7"/>
      <c r="G99" s="7"/>
      <c r="H99" s="7"/>
      <c r="I99" s="7"/>
      <c r="J99" s="7"/>
    </row>
    <row r="100" spans="2:10">
      <c r="B100" s="459" t="s">
        <v>405</v>
      </c>
      <c r="C100" s="459"/>
      <c r="D100" s="459"/>
      <c r="E100" s="459"/>
      <c r="F100" s="459"/>
      <c r="G100" s="459"/>
      <c r="H100" s="459"/>
      <c r="I100" s="459"/>
      <c r="J100" s="459"/>
    </row>
    <row r="102" spans="2:10" ht="18.75">
      <c r="B102" s="419" t="s">
        <v>516</v>
      </c>
      <c r="C102" s="419"/>
      <c r="D102" s="419"/>
      <c r="E102" s="419"/>
      <c r="F102" s="419"/>
      <c r="G102" s="419"/>
      <c r="H102" s="419"/>
      <c r="I102" s="419"/>
    </row>
    <row r="104" spans="2:10" ht="15.75">
      <c r="B104" s="70" t="s">
        <v>0</v>
      </c>
      <c r="C104" s="70" t="s">
        <v>2</v>
      </c>
      <c r="D104" s="70" t="s">
        <v>3</v>
      </c>
      <c r="E104" s="70" t="s">
        <v>4</v>
      </c>
      <c r="F104" s="70" t="s">
        <v>5</v>
      </c>
      <c r="G104" s="70" t="s">
        <v>6</v>
      </c>
      <c r="H104" s="70" t="s">
        <v>168</v>
      </c>
      <c r="I104" s="70" t="s">
        <v>167</v>
      </c>
    </row>
    <row r="105" spans="2:10" ht="15.75">
      <c r="B105" s="67"/>
      <c r="C105" s="68"/>
      <c r="D105" s="68"/>
      <c r="E105" s="68"/>
      <c r="F105" s="68"/>
      <c r="G105" s="68"/>
      <c r="H105" s="68"/>
      <c r="I105" s="68"/>
    </row>
    <row r="106" spans="2:10">
      <c r="B106" s="93" t="s">
        <v>317</v>
      </c>
      <c r="C106" s="94">
        <f>'6.Cons Profit &amp; Loss'!B31</f>
        <v>1137045.5992805958</v>
      </c>
      <c r="D106" s="94">
        <f>'6.Cons Profit &amp; Loss'!C31</f>
        <v>1095471.2197831869</v>
      </c>
      <c r="E106" s="94">
        <f>'6.Cons Profit &amp; Loss'!D31</f>
        <v>1303927.4238374755</v>
      </c>
      <c r="F106" s="94">
        <f>'6.Cons Profit &amp; Loss'!E31</f>
        <v>1530490.5702476948</v>
      </c>
      <c r="G106" s="94">
        <f>'6.Cons Profit &amp; Loss'!F31</f>
        <v>1776450.2127393931</v>
      </c>
      <c r="H106" s="94">
        <f>'6.Cons Profit &amp; Loss'!G31</f>
        <v>2043179.5930545777</v>
      </c>
      <c r="I106" s="94">
        <f>'6.Cons Profit &amp; Loss'!H31</f>
        <v>2332140.7858694345</v>
      </c>
    </row>
    <row r="107" spans="2:10">
      <c r="B107" s="93" t="s">
        <v>327</v>
      </c>
      <c r="C107" s="94">
        <f>'6.Cons Profit &amp; Loss'!B33</f>
        <v>237254.98949999997</v>
      </c>
      <c r="D107" s="94">
        <f>'6.Cons Profit &amp; Loss'!C33</f>
        <v>237254.98949999997</v>
      </c>
      <c r="E107" s="94">
        <f>'6.Cons Profit &amp; Loss'!D33</f>
        <v>237254.98949999997</v>
      </c>
      <c r="F107" s="94">
        <f>'6.Cons Profit &amp; Loss'!E33</f>
        <v>237254.98949999997</v>
      </c>
      <c r="G107" s="94">
        <f>'6.Cons Profit &amp; Loss'!F33</f>
        <v>237254.98949999997</v>
      </c>
      <c r="H107" s="94">
        <f>'6.Cons Profit &amp; Loss'!G33</f>
        <v>237254.98949999997</v>
      </c>
      <c r="I107" s="94">
        <f>'6.Cons Profit &amp; Loss'!H33</f>
        <v>237254.98949999997</v>
      </c>
    </row>
    <row r="108" spans="2:10">
      <c r="B108" s="93" t="s">
        <v>328</v>
      </c>
      <c r="C108" s="94">
        <f>'6.Cons Profit &amp; Loss'!B34</f>
        <v>21400</v>
      </c>
      <c r="D108" s="94">
        <f>'6.Cons Profit &amp; Loss'!C34</f>
        <v>21400</v>
      </c>
      <c r="E108" s="94">
        <f>'6.Cons Profit &amp; Loss'!D34</f>
        <v>21400</v>
      </c>
      <c r="F108" s="94">
        <f>'6.Cons Profit &amp; Loss'!E34</f>
        <v>21400</v>
      </c>
      <c r="G108" s="94">
        <f>'6.Cons Profit &amp; Loss'!F34</f>
        <v>21400</v>
      </c>
      <c r="H108" s="94">
        <f>'6.Cons Profit &amp; Loss'!G34</f>
        <v>0</v>
      </c>
      <c r="I108" s="94">
        <f>'6.Cons Profit &amp; Loss'!H34</f>
        <v>0</v>
      </c>
    </row>
    <row r="109" spans="2:10">
      <c r="B109" s="93" t="s">
        <v>329</v>
      </c>
      <c r="C109" s="94">
        <f>'8.Cash Flow '!C26</f>
        <v>0</v>
      </c>
      <c r="D109" s="94">
        <f>'8.Cash Flow '!D26</f>
        <v>0</v>
      </c>
      <c r="E109" s="94">
        <f>'8.Cash Flow '!E26</f>
        <v>0</v>
      </c>
      <c r="F109" s="94">
        <f>'8.Cash Flow '!F26</f>
        <v>0</v>
      </c>
      <c r="G109" s="94">
        <f>'8.Cash Flow '!G26</f>
        <v>0</v>
      </c>
      <c r="H109" s="94">
        <f>'8.Cash Flow '!H26</f>
        <v>0</v>
      </c>
      <c r="I109" s="94">
        <f>'8.Cash Flow '!I26</f>
        <v>0</v>
      </c>
    </row>
    <row r="110" spans="2:10">
      <c r="B110" s="95" t="s">
        <v>1</v>
      </c>
      <c r="C110" s="96">
        <f>SUM(C106:C109)</f>
        <v>1395700.5887805957</v>
      </c>
      <c r="D110" s="96">
        <f t="shared" ref="D110:I110" si="11">SUM(D106:D109)</f>
        <v>1354126.2092831868</v>
      </c>
      <c r="E110" s="96">
        <f t="shared" si="11"/>
        <v>1562582.4133374754</v>
      </c>
      <c r="F110" s="96">
        <f t="shared" si="11"/>
        <v>1789145.5597476948</v>
      </c>
      <c r="G110" s="96">
        <f t="shared" si="11"/>
        <v>2035105.202239393</v>
      </c>
      <c r="H110" s="96">
        <f t="shared" si="11"/>
        <v>2280434.5825545778</v>
      </c>
      <c r="I110" s="96">
        <f t="shared" si="11"/>
        <v>2569395.7753694346</v>
      </c>
    </row>
    <row r="111" spans="2:10">
      <c r="B111" s="93"/>
      <c r="C111" s="93"/>
      <c r="D111" s="93"/>
      <c r="E111" s="93"/>
      <c r="F111" s="93"/>
      <c r="G111" s="93"/>
      <c r="H111" s="93"/>
      <c r="I111" s="93"/>
    </row>
    <row r="112" spans="2:10">
      <c r="B112" s="97" t="s">
        <v>273</v>
      </c>
      <c r="C112" s="98">
        <f>'8.Cash Flow '!C25+'8.Cash Flow '!C26</f>
        <v>0</v>
      </c>
      <c r="D112" s="98">
        <f>'8.Cash Flow '!D25+'8.Cash Flow '!D26</f>
        <v>0</v>
      </c>
      <c r="E112" s="98">
        <f>'8.Cash Flow '!E25+'8.Cash Flow '!E26</f>
        <v>0</v>
      </c>
      <c r="F112" s="98">
        <f>'8.Cash Flow '!F25+'8.Cash Flow '!F26</f>
        <v>0</v>
      </c>
      <c r="G112" s="98">
        <f>'8.Cash Flow '!G25+'8.Cash Flow '!G26</f>
        <v>0</v>
      </c>
      <c r="H112" s="98">
        <f>'8.Cash Flow '!H25+'8.Cash Flow '!H26</f>
        <v>0</v>
      </c>
      <c r="I112" s="98">
        <f>'8.Cash Flow '!I25+'8.Cash Flow '!I26</f>
        <v>0</v>
      </c>
    </row>
    <row r="113" spans="2:18">
      <c r="B113" s="93"/>
      <c r="C113" s="93"/>
      <c r="D113" s="93"/>
      <c r="E113" s="93"/>
      <c r="F113" s="93"/>
      <c r="G113" s="93"/>
      <c r="H113" s="93"/>
      <c r="I113" s="93"/>
    </row>
    <row r="114" spans="2:18">
      <c r="B114" s="99" t="s">
        <v>315</v>
      </c>
      <c r="C114" s="100" t="e">
        <f>C110/C112</f>
        <v>#DIV/0!</v>
      </c>
      <c r="D114" s="100" t="e">
        <f t="shared" ref="D114:I114" si="12">D110/D112</f>
        <v>#DIV/0!</v>
      </c>
      <c r="E114" s="100" t="e">
        <f t="shared" si="12"/>
        <v>#DIV/0!</v>
      </c>
      <c r="F114" s="100" t="e">
        <f t="shared" si="12"/>
        <v>#DIV/0!</v>
      </c>
      <c r="G114" s="100" t="e">
        <f t="shared" si="12"/>
        <v>#DIV/0!</v>
      </c>
      <c r="H114" s="100" t="e">
        <f t="shared" si="12"/>
        <v>#DIV/0!</v>
      </c>
      <c r="I114" s="100" t="e">
        <f t="shared" si="12"/>
        <v>#DIV/0!</v>
      </c>
    </row>
    <row r="115" spans="2:18">
      <c r="B115" s="92"/>
      <c r="C115" s="92"/>
      <c r="D115" s="92"/>
      <c r="E115" s="92"/>
      <c r="F115" s="92"/>
      <c r="G115" s="92"/>
      <c r="H115" s="92"/>
      <c r="I115" s="92"/>
    </row>
    <row r="116" spans="2:18">
      <c r="B116" s="92" t="s">
        <v>316</v>
      </c>
      <c r="C116" s="101" t="e">
        <f>AVERAGE(C114:I114)</f>
        <v>#DIV/0!</v>
      </c>
      <c r="D116" s="92"/>
      <c r="E116" s="92"/>
      <c r="F116" s="92"/>
      <c r="G116" s="92"/>
      <c r="H116" s="92"/>
      <c r="I116" s="92"/>
    </row>
    <row r="118" spans="2:18" ht="29.45" customHeight="1">
      <c r="B118" s="424" t="s">
        <v>406</v>
      </c>
      <c r="C118" s="424"/>
      <c r="D118" s="424"/>
      <c r="E118" s="424"/>
      <c r="F118" s="424"/>
      <c r="G118" s="424"/>
      <c r="H118" s="424"/>
      <c r="I118" s="424"/>
      <c r="J118" s="424"/>
    </row>
    <row r="120" spans="2:18" ht="21">
      <c r="B120" s="454" t="s">
        <v>517</v>
      </c>
      <c r="C120" s="455"/>
      <c r="D120" s="455"/>
      <c r="E120" s="455"/>
      <c r="F120" s="455"/>
      <c r="G120" s="455"/>
      <c r="H120" s="455"/>
      <c r="I120" s="455"/>
      <c r="K120" s="456"/>
      <c r="L120" s="456"/>
      <c r="M120" s="456"/>
      <c r="N120" s="456"/>
      <c r="O120" s="456"/>
      <c r="P120" s="456"/>
      <c r="Q120" s="456"/>
      <c r="R120" s="456"/>
    </row>
    <row r="121" spans="2:18">
      <c r="B121" s="80" t="s">
        <v>330</v>
      </c>
      <c r="C121" s="81" t="s">
        <v>2</v>
      </c>
      <c r="D121" s="81" t="s">
        <v>3</v>
      </c>
      <c r="E121" s="81" t="s">
        <v>4</v>
      </c>
      <c r="F121" s="81" t="s">
        <v>5</v>
      </c>
      <c r="G121" s="81" t="s">
        <v>6</v>
      </c>
      <c r="H121" s="81" t="s">
        <v>168</v>
      </c>
      <c r="I121" s="81" t="s">
        <v>167</v>
      </c>
    </row>
    <row r="122" spans="2:18">
      <c r="B122" s="72" t="str">
        <f>'6.Cons Profit &amp; Loss'!A8</f>
        <v>Faclitiy 1 - Cleaning &amp; Grading</v>
      </c>
      <c r="C122" s="322">
        <f>'6.Cons Profit &amp; Loss'!B8*(1+$M$123)</f>
        <v>40602770.292341255</v>
      </c>
      <c r="D122" s="322">
        <f>'6.Cons Profit &amp; Loss'!C8*(1+$M$123)</f>
        <v>49133381.354009271</v>
      </c>
      <c r="E122" s="322">
        <f>'6.Cons Profit &amp; Loss'!D8*(1+$M$123)</f>
        <v>56301409.921407655</v>
      </c>
      <c r="F122" s="322">
        <f>'6.Cons Profit &amp; Loss'!E8*(1+$M$123)</f>
        <v>64063407.89216084</v>
      </c>
      <c r="G122" s="322">
        <f>'6.Cons Profit &amp; Loss'!F8*(1+$M$123)</f>
        <v>72460852.135185838</v>
      </c>
      <c r="H122" s="322">
        <f>'6.Cons Profit &amp; Loss'!G8*(1+$M$123)</f>
        <v>81537882.282782942</v>
      </c>
      <c r="I122" s="322">
        <f>'6.Cons Profit &amp; Loss'!H8*(1+$M$123)</f>
        <v>91341463.314801767</v>
      </c>
    </row>
    <row r="123" spans="2:18">
      <c r="B123" s="72" t="str">
        <f>'6.Cons Profit &amp; Loss'!A9</f>
        <v>Faclitiy 2 - Processing Unit- Atta Mill</v>
      </c>
      <c r="C123" s="322">
        <f>'6.Cons Profit &amp; Loss'!B9*(1+$M$123)</f>
        <v>9219287.4164999984</v>
      </c>
      <c r="D123" s="322">
        <f>'6.Cons Profit &amp; Loss'!C9*(1+$M$123)</f>
        <v>10325601.906479999</v>
      </c>
      <c r="E123" s="322">
        <f>'6.Cons Profit &amp; Loss'!D9*(1+$M$123)</f>
        <v>11519499.626916748</v>
      </c>
      <c r="F123" s="322">
        <f>'6.Cons Profit &amp; Loss'!E9*(1+$M$123)</f>
        <v>12806973.114630975</v>
      </c>
      <c r="G123" s="322">
        <f>'6.Cons Profit &amp; Loss'!F9*(1+$M$123)</f>
        <v>14194395.202049332</v>
      </c>
      <c r="H123" s="322">
        <f>'6.Cons Profit &amp; Loss'!G9*(1+$M$123)</f>
        <v>15688542.065422947</v>
      </c>
      <c r="I123" s="322">
        <f>'6.Cons Profit &amp; Loss'!H9*(1+$M$123)</f>
        <v>17296617.627128802</v>
      </c>
      <c r="L123" s="5" t="s">
        <v>349</v>
      </c>
      <c r="M123" s="268">
        <v>0.05</v>
      </c>
    </row>
    <row r="124" spans="2:18">
      <c r="B124" s="72" t="str">
        <f>'6.Cons Profit &amp; Loss'!A10</f>
        <v>Faclitiy 3 - Warehouse</v>
      </c>
      <c r="C124" s="322">
        <f>'6.Cons Profit &amp; Loss'!B10*(1+$M$123)</f>
        <v>0</v>
      </c>
      <c r="D124" s="322">
        <f>'6.Cons Profit &amp; Loss'!C10*(1+$M$123)</f>
        <v>0</v>
      </c>
      <c r="E124" s="322">
        <f>'6.Cons Profit &amp; Loss'!D10*(1+$M$123)</f>
        <v>0</v>
      </c>
      <c r="F124" s="322">
        <f>'6.Cons Profit &amp; Loss'!E10*(1+$M$123)</f>
        <v>0</v>
      </c>
      <c r="G124" s="322">
        <f>'6.Cons Profit &amp; Loss'!F10*(1+$M$123)</f>
        <v>0</v>
      </c>
      <c r="H124" s="322">
        <f>'6.Cons Profit &amp; Loss'!G10*(1+$M$123)</f>
        <v>0</v>
      </c>
      <c r="I124" s="322">
        <f>'6.Cons Profit &amp; Loss'!H10*(1+$M$123)</f>
        <v>0</v>
      </c>
      <c r="L124" s="5" t="s">
        <v>350</v>
      </c>
      <c r="M124" s="268">
        <v>0.05</v>
      </c>
    </row>
    <row r="125" spans="2:18">
      <c r="B125" s="72">
        <f>'6.Cons Profit &amp; Loss'!A11</f>
        <v>0</v>
      </c>
      <c r="C125" s="322">
        <f>'6.Cons Profit &amp; Loss'!B11*(1+$M$123)</f>
        <v>0</v>
      </c>
      <c r="D125" s="322">
        <f>'6.Cons Profit &amp; Loss'!C11*(1+$M$123)</f>
        <v>0</v>
      </c>
      <c r="E125" s="322">
        <f>'6.Cons Profit &amp; Loss'!D11*(1+$M$123)</f>
        <v>0</v>
      </c>
      <c r="F125" s="322">
        <f>'6.Cons Profit &amp; Loss'!E11*(1+$M$123)</f>
        <v>0</v>
      </c>
      <c r="G125" s="322">
        <f>'6.Cons Profit &amp; Loss'!F11*(1+$M$123)</f>
        <v>0</v>
      </c>
      <c r="H125" s="322">
        <f>'6.Cons Profit &amp; Loss'!G11*(1+$M$123)</f>
        <v>0</v>
      </c>
      <c r="I125" s="322">
        <f>'6.Cons Profit &amp; Loss'!H11*(1+$M$123)</f>
        <v>0</v>
      </c>
    </row>
    <row r="126" spans="2:18">
      <c r="B126" s="72" t="s">
        <v>331</v>
      </c>
      <c r="C126" s="322">
        <f t="shared" ref="C126:I126" si="13">SUM(C122:C125)</f>
        <v>49822057.708841249</v>
      </c>
      <c r="D126" s="322">
        <f t="shared" si="13"/>
        <v>59458983.26048927</v>
      </c>
      <c r="E126" s="322">
        <f t="shared" si="13"/>
        <v>67820909.548324406</v>
      </c>
      <c r="F126" s="322">
        <f t="shared" si="13"/>
        <v>76870381.006791815</v>
      </c>
      <c r="G126" s="322">
        <f t="shared" si="13"/>
        <v>86655247.337235168</v>
      </c>
      <c r="H126" s="322">
        <f t="shared" si="13"/>
        <v>97226424.348205894</v>
      </c>
      <c r="I126" s="322">
        <f t="shared" si="13"/>
        <v>108638080.94193056</v>
      </c>
    </row>
    <row r="127" spans="2:18">
      <c r="B127" s="72" t="s">
        <v>332</v>
      </c>
      <c r="C127" s="322"/>
      <c r="D127" s="322"/>
      <c r="E127" s="322"/>
      <c r="F127" s="322"/>
      <c r="G127" s="322"/>
      <c r="H127" s="322"/>
      <c r="I127" s="322"/>
    </row>
    <row r="128" spans="2:18">
      <c r="B128" s="72" t="s">
        <v>333</v>
      </c>
      <c r="C128" s="322">
        <f>'6.Cons Profit &amp; Loss'!B27</f>
        <v>729835.76785714284</v>
      </c>
      <c r="D128" s="322">
        <f>'6.Cons Profit &amp; Loss'!C27</f>
        <v>772226.43187500001</v>
      </c>
      <c r="E128" s="322">
        <f>'6.Cons Profit &amp; Loss'!D27</f>
        <v>817031.57287500007</v>
      </c>
      <c r="F128" s="322">
        <f>'6.Cons Profit &amp; Loss'!E27</f>
        <v>864386.6618953126</v>
      </c>
      <c r="G128" s="322">
        <f>'6.Cons Profit &amp; Loss'!F27</f>
        <v>914434.68088546884</v>
      </c>
      <c r="H128" s="322">
        <f>'6.Cons Profit &amp; Loss'!G27</f>
        <v>967326.53511990258</v>
      </c>
      <c r="I128" s="322">
        <f>'6.Cons Profit &amp; Loss'!H27</f>
        <v>1023221.488075566</v>
      </c>
    </row>
    <row r="129" spans="2:15">
      <c r="B129" s="72" t="s">
        <v>292</v>
      </c>
      <c r="C129" s="322">
        <f>'6.Cons Profit &amp; Loss'!B19*(1+M123)</f>
        <v>47861832.273346625</v>
      </c>
      <c r="D129" s="322">
        <f>'6.Cons Profit &amp; Loss'!C19*(1+N123)</f>
        <v>54759905.453569688</v>
      </c>
      <c r="E129" s="322">
        <f>'6.Cons Profit &amp; Loss'!D19*(1+O123)</f>
        <v>62470383.430263139</v>
      </c>
      <c r="F129" s="322">
        <f>'6.Cons Profit &amp; Loss'!E19*(1+P123)</f>
        <v>70815009.440992042</v>
      </c>
      <c r="G129" s="322">
        <f>'6.Cons Profit &amp; Loss'!F19*(1+Q123)</f>
        <v>79837922.094218165</v>
      </c>
      <c r="H129" s="322">
        <f>'6.Cons Profit &amp; Loss'!G19*(1+R123)</f>
        <v>89586088.489164442</v>
      </c>
      <c r="I129" s="322">
        <f>'6.Cons Profit &amp; Loss'!H19*(1+S123)</f>
        <v>100109476.71836981</v>
      </c>
    </row>
    <row r="130" spans="2:15">
      <c r="B130" s="72" t="s">
        <v>334</v>
      </c>
      <c r="C130" s="322">
        <f t="shared" ref="C130:I130" si="14">SUM(C128:C129)</f>
        <v>48591668.041203767</v>
      </c>
      <c r="D130" s="322">
        <f t="shared" si="14"/>
        <v>55532131.885444686</v>
      </c>
      <c r="E130" s="322">
        <f t="shared" si="14"/>
        <v>63287415.00313814</v>
      </c>
      <c r="F130" s="322">
        <f t="shared" si="14"/>
        <v>71679396.102887362</v>
      </c>
      <c r="G130" s="322">
        <f t="shared" si="14"/>
        <v>80752356.775103629</v>
      </c>
      <c r="H130" s="322">
        <f t="shared" si="14"/>
        <v>90553415.024284348</v>
      </c>
      <c r="I130" s="322">
        <f t="shared" si="14"/>
        <v>101132698.20644538</v>
      </c>
    </row>
    <row r="131" spans="2:15">
      <c r="B131" s="75" t="s">
        <v>335</v>
      </c>
      <c r="C131" s="324">
        <f t="shared" ref="C131:I131" si="15">+C126-C130</f>
        <v>1230389.6676374823</v>
      </c>
      <c r="D131" s="324">
        <f t="shared" si="15"/>
        <v>3926851.3750445843</v>
      </c>
      <c r="E131" s="324">
        <f t="shared" si="15"/>
        <v>4533494.5451862663</v>
      </c>
      <c r="F131" s="324">
        <f t="shared" si="15"/>
        <v>5190984.9039044529</v>
      </c>
      <c r="G131" s="324">
        <f t="shared" si="15"/>
        <v>5902890.562131539</v>
      </c>
      <c r="H131" s="324">
        <f t="shared" si="15"/>
        <v>6673009.3239215463</v>
      </c>
      <c r="I131" s="324">
        <f t="shared" si="15"/>
        <v>7505382.7354851812</v>
      </c>
    </row>
    <row r="132" spans="2:15">
      <c r="B132" s="77"/>
      <c r="C132" s="78"/>
      <c r="D132" s="78"/>
      <c r="E132" s="78"/>
      <c r="F132" s="78"/>
      <c r="G132" s="78"/>
      <c r="H132" s="78"/>
      <c r="I132" s="78"/>
    </row>
    <row r="133" spans="2:15">
      <c r="B133" s="80" t="s">
        <v>336</v>
      </c>
      <c r="C133" s="81" t="s">
        <v>2</v>
      </c>
      <c r="D133" s="81" t="s">
        <v>3</v>
      </c>
      <c r="E133" s="81" t="s">
        <v>4</v>
      </c>
      <c r="F133" s="81" t="s">
        <v>5</v>
      </c>
      <c r="G133" s="81" t="s">
        <v>6</v>
      </c>
      <c r="H133" s="81" t="s">
        <v>168</v>
      </c>
      <c r="I133" s="81" t="s">
        <v>167</v>
      </c>
    </row>
    <row r="134" spans="2:15">
      <c r="B134" s="72" t="str">
        <f>B122</f>
        <v>Faclitiy 1 - Cleaning &amp; Grading</v>
      </c>
      <c r="C134" s="74">
        <f>'6.Cons Profit &amp; Loss'!B8</f>
        <v>38669305.040325001</v>
      </c>
      <c r="D134" s="74">
        <f>'6.Cons Profit &amp; Loss'!C8</f>
        <v>46793696.527627878</v>
      </c>
      <c r="E134" s="74">
        <f>'6.Cons Profit &amp; Loss'!D8</f>
        <v>53620390.401340619</v>
      </c>
      <c r="F134" s="74">
        <f>'6.Cons Profit &amp; Loss'!E8</f>
        <v>61012769.421105556</v>
      </c>
      <c r="G134" s="74">
        <f>'6.Cons Profit &amp; Loss'!F8</f>
        <v>69010335.366843656</v>
      </c>
      <c r="H134" s="74">
        <f>'6.Cons Profit &amp; Loss'!G8</f>
        <v>77655125.983602792</v>
      </c>
      <c r="I134" s="74">
        <f>'6.Cons Profit &amp; Loss'!H8</f>
        <v>86991869.823620722</v>
      </c>
    </row>
    <row r="135" spans="2:15">
      <c r="B135" s="72" t="str">
        <f>B123</f>
        <v>Faclitiy 2 - Processing Unit- Atta Mill</v>
      </c>
      <c r="C135" s="74">
        <f>'6.Cons Profit &amp; Loss'!B9</f>
        <v>8780273.7299999986</v>
      </c>
      <c r="D135" s="74">
        <f>'6.Cons Profit &amp; Loss'!C9</f>
        <v>9833906.5775999986</v>
      </c>
      <c r="E135" s="74">
        <f>'6.Cons Profit &amp; Loss'!D9</f>
        <v>10970952.025634997</v>
      </c>
      <c r="F135" s="74">
        <f>'6.Cons Profit &amp; Loss'!E9</f>
        <v>12197117.252029499</v>
      </c>
      <c r="G135" s="74">
        <f>'6.Cons Profit &amp; Loss'!F9</f>
        <v>13518471.620999362</v>
      </c>
      <c r="H135" s="74">
        <f>'6.Cons Profit &amp; Loss'!G9</f>
        <v>14941468.633736139</v>
      </c>
      <c r="I135" s="74">
        <f>'6.Cons Profit &amp; Loss'!H9</f>
        <v>16472969.168694096</v>
      </c>
    </row>
    <row r="136" spans="2:15">
      <c r="B136" s="72" t="str">
        <f>B124</f>
        <v>Faclitiy 3 - Warehouse</v>
      </c>
      <c r="C136" s="74">
        <f>'6.Cons Profit &amp; Loss'!B10</f>
        <v>0</v>
      </c>
      <c r="D136" s="74">
        <f>'6.Cons Profit &amp; Loss'!C10</f>
        <v>0</v>
      </c>
      <c r="E136" s="74">
        <f>'6.Cons Profit &amp; Loss'!D10</f>
        <v>0</v>
      </c>
      <c r="F136" s="74">
        <f>'6.Cons Profit &amp; Loss'!E10</f>
        <v>0</v>
      </c>
      <c r="G136" s="74">
        <f>'6.Cons Profit &amp; Loss'!F10</f>
        <v>0</v>
      </c>
      <c r="H136" s="74">
        <f>'6.Cons Profit &amp; Loss'!G10</f>
        <v>0</v>
      </c>
      <c r="I136" s="74">
        <f>'6.Cons Profit &amp; Loss'!H10</f>
        <v>0</v>
      </c>
    </row>
    <row r="137" spans="2:15">
      <c r="B137" s="72">
        <f t="shared" ref="B137" si="16">B125</f>
        <v>0</v>
      </c>
      <c r="C137" s="74">
        <f>'6.Cons Profit &amp; Loss'!B11</f>
        <v>0</v>
      </c>
      <c r="D137" s="74">
        <f>'6.Cons Profit &amp; Loss'!C11</f>
        <v>0</v>
      </c>
      <c r="E137" s="74">
        <f>'6.Cons Profit &amp; Loss'!D11</f>
        <v>0</v>
      </c>
      <c r="F137" s="74">
        <f>'6.Cons Profit &amp; Loss'!E11</f>
        <v>0</v>
      </c>
      <c r="G137" s="74">
        <f>'6.Cons Profit &amp; Loss'!F11</f>
        <v>0</v>
      </c>
      <c r="H137" s="74">
        <f>'6.Cons Profit &amp; Loss'!G11</f>
        <v>0</v>
      </c>
      <c r="I137" s="74">
        <f>'6.Cons Profit &amp; Loss'!H11</f>
        <v>0</v>
      </c>
    </row>
    <row r="138" spans="2:15">
      <c r="B138" s="72" t="s">
        <v>331</v>
      </c>
      <c r="C138" s="74">
        <f t="shared" ref="C138:I138" si="17">SUM(C134:C137)</f>
        <v>47449578.770324998</v>
      </c>
      <c r="D138" s="74">
        <f t="shared" si="17"/>
        <v>56627603.105227873</v>
      </c>
      <c r="E138" s="74">
        <f t="shared" si="17"/>
        <v>64591342.426975615</v>
      </c>
      <c r="F138" s="74">
        <f t="shared" si="17"/>
        <v>73209886.673135057</v>
      </c>
      <c r="G138" s="74">
        <f t="shared" si="17"/>
        <v>82528806.987843022</v>
      </c>
      <c r="H138" s="74">
        <f t="shared" si="17"/>
        <v>92596594.617338926</v>
      </c>
      <c r="I138" s="74">
        <f t="shared" si="17"/>
        <v>103464838.99231482</v>
      </c>
    </row>
    <row r="139" spans="2:15">
      <c r="B139" s="72" t="s">
        <v>332</v>
      </c>
      <c r="C139" s="79"/>
      <c r="D139" s="74"/>
      <c r="E139" s="74"/>
      <c r="F139" s="74"/>
      <c r="G139" s="74"/>
      <c r="H139" s="74"/>
      <c r="I139" s="74"/>
    </row>
    <row r="140" spans="2:15">
      <c r="B140" s="72" t="s">
        <v>333</v>
      </c>
      <c r="C140" s="73">
        <f>'6.Cons Profit &amp; Loss'!B27</f>
        <v>729835.76785714284</v>
      </c>
      <c r="D140" s="73">
        <f>'6.Cons Profit &amp; Loss'!C27</f>
        <v>772226.43187500001</v>
      </c>
      <c r="E140" s="73">
        <f>'6.Cons Profit &amp; Loss'!D27</f>
        <v>817031.57287500007</v>
      </c>
      <c r="F140" s="73">
        <f>'6.Cons Profit &amp; Loss'!E27</f>
        <v>864386.6618953126</v>
      </c>
      <c r="G140" s="73">
        <f>'6.Cons Profit &amp; Loss'!F27</f>
        <v>914434.68088546884</v>
      </c>
      <c r="H140" s="73">
        <f>'6.Cons Profit &amp; Loss'!G27</f>
        <v>967326.53511990258</v>
      </c>
      <c r="I140" s="73">
        <f>'6.Cons Profit &amp; Loss'!H27</f>
        <v>1023221.488075566</v>
      </c>
    </row>
    <row r="141" spans="2:15">
      <c r="B141" s="72" t="s">
        <v>292</v>
      </c>
      <c r="C141" s="73">
        <f>'6.Cons Profit &amp; Loss'!B19*(1+$M$124)</f>
        <v>47861832.273346625</v>
      </c>
      <c r="D141" s="73">
        <f>'6.Cons Profit &amp; Loss'!C19*(1+$M$124)</f>
        <v>57497900.726248175</v>
      </c>
      <c r="E141" s="73">
        <f>'6.Cons Profit &amp; Loss'!D19*(1+$M$124)</f>
        <v>65593902.601776302</v>
      </c>
      <c r="F141" s="73">
        <f>'6.Cons Profit &amp; Loss'!E19*(1+$M$124)</f>
        <v>74355759.913041651</v>
      </c>
      <c r="G141" s="73">
        <f>'6.Cons Profit &amp; Loss'!F19*(1+$M$124)</f>
        <v>83829818.198929071</v>
      </c>
      <c r="H141" s="73">
        <f>'6.Cons Profit &amp; Loss'!G19*(1+$M$124)</f>
        <v>94065392.913622662</v>
      </c>
      <c r="I141" s="73">
        <f>'6.Cons Profit &amp; Loss'!H19*(1+$M$124)</f>
        <v>105114950.55428831</v>
      </c>
    </row>
    <row r="142" spans="2:15">
      <c r="B142" s="72" t="s">
        <v>334</v>
      </c>
      <c r="C142" s="73">
        <f t="shared" ref="C142:I142" si="18">SUM(C140:C141)</f>
        <v>48591668.041203767</v>
      </c>
      <c r="D142" s="73">
        <f t="shared" si="18"/>
        <v>58270127.158123173</v>
      </c>
      <c r="E142" s="73">
        <f t="shared" si="18"/>
        <v>66410934.174651302</v>
      </c>
      <c r="F142" s="73">
        <f t="shared" si="18"/>
        <v>75220146.574936971</v>
      </c>
      <c r="G142" s="73">
        <f t="shared" si="18"/>
        <v>84744252.879814535</v>
      </c>
      <c r="H142" s="73">
        <f t="shared" si="18"/>
        <v>95032719.448742568</v>
      </c>
      <c r="I142" s="73">
        <f t="shared" si="18"/>
        <v>106138172.04236388</v>
      </c>
    </row>
    <row r="143" spans="2:15">
      <c r="B143" s="75" t="s">
        <v>335</v>
      </c>
      <c r="C143" s="76">
        <f>+C138-C142</f>
        <v>-1142089.2708787695</v>
      </c>
      <c r="D143" s="76">
        <f t="shared" ref="D143:I143" si="19">+D138-D142</f>
        <v>-1642524.0528953001</v>
      </c>
      <c r="E143" s="76">
        <f t="shared" si="19"/>
        <v>-1819591.7476756871</v>
      </c>
      <c r="F143" s="76">
        <f t="shared" si="19"/>
        <v>-2010259.901801914</v>
      </c>
      <c r="G143" s="76">
        <f t="shared" si="19"/>
        <v>-2215445.8919715136</v>
      </c>
      <c r="H143" s="76">
        <f t="shared" si="19"/>
        <v>-2436124.8314036429</v>
      </c>
      <c r="I143" s="76">
        <f t="shared" si="19"/>
        <v>-2673333.0500490665</v>
      </c>
      <c r="N143" s="4"/>
      <c r="O143" s="6"/>
    </row>
    <row r="144" spans="2:15">
      <c r="B144" s="77"/>
      <c r="C144" s="78"/>
      <c r="D144" s="78"/>
      <c r="E144" s="78"/>
      <c r="F144" s="78"/>
      <c r="G144" s="78"/>
      <c r="H144" s="78"/>
      <c r="I144" s="78"/>
    </row>
    <row r="145" spans="2:9">
      <c r="B145" s="80" t="s">
        <v>337</v>
      </c>
      <c r="C145" s="81" t="s">
        <v>2</v>
      </c>
      <c r="D145" s="81" t="s">
        <v>3</v>
      </c>
      <c r="E145" s="81" t="s">
        <v>4</v>
      </c>
      <c r="F145" s="81" t="s">
        <v>5</v>
      </c>
      <c r="G145" s="81" t="s">
        <v>6</v>
      </c>
      <c r="H145" s="81" t="s">
        <v>168</v>
      </c>
      <c r="I145" s="81" t="s">
        <v>167</v>
      </c>
    </row>
    <row r="146" spans="2:9">
      <c r="B146" s="72" t="str">
        <f>B134</f>
        <v>Faclitiy 1 - Cleaning &amp; Grading</v>
      </c>
      <c r="C146" s="322">
        <f>'6.Cons Profit &amp; Loss'!B8*(1-$M$123)</f>
        <v>36735839.788308747</v>
      </c>
      <c r="D146" s="322">
        <f>'6.Cons Profit &amp; Loss'!C8*(1-$M$123)</f>
        <v>44454011.701246485</v>
      </c>
      <c r="E146" s="322">
        <f>'6.Cons Profit &amp; Loss'!D8*(1-$M$123)</f>
        <v>50939370.881273583</v>
      </c>
      <c r="F146" s="322">
        <f>'6.Cons Profit &amp; Loss'!E8*(1-$M$123)</f>
        <v>57962130.950050272</v>
      </c>
      <c r="G146" s="322">
        <f>'6.Cons Profit &amp; Loss'!F8*(1-$M$123)</f>
        <v>65559818.598501466</v>
      </c>
      <c r="H146" s="322">
        <f>'6.Cons Profit &amp; Loss'!G8*(1-$M$123)</f>
        <v>73772369.684422642</v>
      </c>
      <c r="I146" s="322">
        <f>'6.Cons Profit &amp; Loss'!H8*(1-$M$123)</f>
        <v>82642276.332439676</v>
      </c>
    </row>
    <row r="147" spans="2:9">
      <c r="B147" s="72" t="str">
        <f>B135</f>
        <v>Faclitiy 2 - Processing Unit- Atta Mill</v>
      </c>
      <c r="C147" s="322">
        <f>'6.Cons Profit &amp; Loss'!B9*(1-$M$123)</f>
        <v>8341260.0434999978</v>
      </c>
      <c r="D147" s="322">
        <f>'6.Cons Profit &amp; Loss'!C9*(1-$M$123)</f>
        <v>9342211.2487199977</v>
      </c>
      <c r="E147" s="322">
        <f>'6.Cons Profit &amp; Loss'!D9*(1-$M$123)</f>
        <v>10422404.424353246</v>
      </c>
      <c r="F147" s="322">
        <f>'6.Cons Profit &amp; Loss'!E9*(1-$M$123)</f>
        <v>11587261.389428023</v>
      </c>
      <c r="G147" s="322">
        <f>'6.Cons Profit &amp; Loss'!F9*(1-$M$123)</f>
        <v>12842548.039949393</v>
      </c>
      <c r="H147" s="322">
        <f>'6.Cons Profit &amp; Loss'!G9*(1-$M$123)</f>
        <v>14194395.202049332</v>
      </c>
      <c r="I147" s="322">
        <f>'6.Cons Profit &amp; Loss'!H9*(1-$M$123)</f>
        <v>15649320.710259391</v>
      </c>
    </row>
    <row r="148" spans="2:9">
      <c r="B148" s="72" t="str">
        <f>B136</f>
        <v>Faclitiy 3 - Warehouse</v>
      </c>
      <c r="C148" s="322">
        <f>'6.Cons Profit &amp; Loss'!B10*(1-$M$123)</f>
        <v>0</v>
      </c>
      <c r="D148" s="322">
        <f>'6.Cons Profit &amp; Loss'!C10*(1-$M$123)</f>
        <v>0</v>
      </c>
      <c r="E148" s="322">
        <f>'6.Cons Profit &amp; Loss'!D10*(1-$M$123)</f>
        <v>0</v>
      </c>
      <c r="F148" s="322">
        <f>'6.Cons Profit &amp; Loss'!E10*(1-$M$123)</f>
        <v>0</v>
      </c>
      <c r="G148" s="322">
        <f>'6.Cons Profit &amp; Loss'!F10*(1-$M$123)</f>
        <v>0</v>
      </c>
      <c r="H148" s="322">
        <f>'6.Cons Profit &amp; Loss'!G10*(1-$M$123)</f>
        <v>0</v>
      </c>
      <c r="I148" s="322">
        <f>'6.Cons Profit &amp; Loss'!H10*(1-$M$123)</f>
        <v>0</v>
      </c>
    </row>
    <row r="149" spans="2:9">
      <c r="B149" s="72">
        <f t="shared" ref="B149" si="20">B137</f>
        <v>0</v>
      </c>
      <c r="C149" s="322">
        <f>'6.Cons Profit &amp; Loss'!B11*(1-$M$123)</f>
        <v>0</v>
      </c>
      <c r="D149" s="322">
        <f>'6.Cons Profit &amp; Loss'!C11*(1-$M$123)</f>
        <v>0</v>
      </c>
      <c r="E149" s="322">
        <f>'6.Cons Profit &amp; Loss'!D11*(1-$M$123)</f>
        <v>0</v>
      </c>
      <c r="F149" s="322">
        <f>'6.Cons Profit &amp; Loss'!E11*(1-$M$123)</f>
        <v>0</v>
      </c>
      <c r="G149" s="322">
        <f>'6.Cons Profit &amp; Loss'!F11*(1-$M$123)</f>
        <v>0</v>
      </c>
      <c r="H149" s="322">
        <f>'6.Cons Profit &amp; Loss'!G11*(1-$M$123)</f>
        <v>0</v>
      </c>
      <c r="I149" s="322">
        <f>'6.Cons Profit &amp; Loss'!H11*(1-$M$123)</f>
        <v>0</v>
      </c>
    </row>
    <row r="150" spans="2:9">
      <c r="B150" s="72" t="s">
        <v>331</v>
      </c>
      <c r="C150" s="322">
        <f t="shared" ref="C150:I150" si="21">SUM(C146:C149)</f>
        <v>45077099.831808746</v>
      </c>
      <c r="D150" s="322">
        <f t="shared" si="21"/>
        <v>53796222.949966483</v>
      </c>
      <c r="E150" s="322">
        <f t="shared" si="21"/>
        <v>61361775.305626824</v>
      </c>
      <c r="F150" s="322">
        <f t="shared" si="21"/>
        <v>69549392.339478299</v>
      </c>
      <c r="G150" s="322">
        <f t="shared" si="21"/>
        <v>78402366.638450861</v>
      </c>
      <c r="H150" s="322">
        <f t="shared" si="21"/>
        <v>87966764.886471972</v>
      </c>
      <c r="I150" s="322">
        <f t="shared" si="21"/>
        <v>98291597.042699069</v>
      </c>
    </row>
    <row r="151" spans="2:9">
      <c r="B151" s="72" t="s">
        <v>332</v>
      </c>
      <c r="C151" s="322"/>
      <c r="D151" s="322"/>
      <c r="E151" s="322"/>
      <c r="F151" s="322"/>
      <c r="G151" s="322"/>
      <c r="H151" s="322"/>
      <c r="I151" s="322"/>
    </row>
    <row r="152" spans="2:9">
      <c r="B152" s="72" t="s">
        <v>333</v>
      </c>
      <c r="C152" s="322">
        <f>'6.Cons Profit &amp; Loss'!B27</f>
        <v>729835.76785714284</v>
      </c>
      <c r="D152" s="322">
        <f>'6.Cons Profit &amp; Loss'!C27</f>
        <v>772226.43187500001</v>
      </c>
      <c r="E152" s="322">
        <f>'6.Cons Profit &amp; Loss'!D27</f>
        <v>817031.57287500007</v>
      </c>
      <c r="F152" s="322">
        <f>'6.Cons Profit &amp; Loss'!E27</f>
        <v>864386.6618953126</v>
      </c>
      <c r="G152" s="322">
        <f>'6.Cons Profit &amp; Loss'!F27</f>
        <v>914434.68088546884</v>
      </c>
      <c r="H152" s="322">
        <f>'6.Cons Profit &amp; Loss'!G27</f>
        <v>967326.53511990258</v>
      </c>
      <c r="I152" s="322">
        <f>'6.Cons Profit &amp; Loss'!H27</f>
        <v>1023221.488075566</v>
      </c>
    </row>
    <row r="153" spans="2:9">
      <c r="B153" s="72" t="s">
        <v>292</v>
      </c>
      <c r="C153" s="322">
        <f>'6.Cons Profit &amp; Loss'!B19*(1-$M$123)</f>
        <v>43303562.533027895</v>
      </c>
      <c r="D153" s="322">
        <f>'6.Cons Profit &amp; Loss'!C19*(1-$M$123)</f>
        <v>52021910.180891201</v>
      </c>
      <c r="E153" s="322">
        <f>'6.Cons Profit &amp; Loss'!D19*(1-$M$123)</f>
        <v>59346864.258749977</v>
      </c>
      <c r="F153" s="322">
        <f>'6.Cons Profit &amp; Loss'!E19*(1-$M$123)</f>
        <v>67274258.968942434</v>
      </c>
      <c r="G153" s="322">
        <f>'6.Cons Profit &amp; Loss'!F19*(1-$M$123)</f>
        <v>75846025.989507258</v>
      </c>
      <c r="H153" s="322">
        <f>'6.Cons Profit &amp; Loss'!G19*(1-$M$123)</f>
        <v>85106784.064706221</v>
      </c>
      <c r="I153" s="322">
        <f>'6.Cons Profit &amp; Loss'!H19*(1-$M$123)</f>
        <v>95104002.882451311</v>
      </c>
    </row>
    <row r="154" spans="2:9">
      <c r="B154" s="72" t="s">
        <v>334</v>
      </c>
      <c r="C154" s="322">
        <f t="shared" ref="C154:I154" si="22">SUM(C152:C153)</f>
        <v>44033398.300885037</v>
      </c>
      <c r="D154" s="322">
        <f t="shared" si="22"/>
        <v>52794136.612766199</v>
      </c>
      <c r="E154" s="322">
        <f t="shared" si="22"/>
        <v>60163895.831624977</v>
      </c>
      <c r="F154" s="322">
        <f t="shared" si="22"/>
        <v>68138645.630837753</v>
      </c>
      <c r="G154" s="322">
        <f t="shared" si="22"/>
        <v>76760460.670392722</v>
      </c>
      <c r="H154" s="322">
        <f t="shared" si="22"/>
        <v>86074110.599826127</v>
      </c>
      <c r="I154" s="322">
        <f t="shared" si="22"/>
        <v>96127224.37052688</v>
      </c>
    </row>
    <row r="155" spans="2:9">
      <c r="B155" s="75" t="s">
        <v>335</v>
      </c>
      <c r="C155" s="324">
        <f t="shared" ref="C155:I155" si="23">+C150-C154</f>
        <v>1043701.5309237093</v>
      </c>
      <c r="D155" s="324">
        <f t="shared" si="23"/>
        <v>1002086.337200284</v>
      </c>
      <c r="E155" s="324">
        <f t="shared" si="23"/>
        <v>1197879.4740018472</v>
      </c>
      <c r="F155" s="324">
        <f t="shared" si="23"/>
        <v>1410746.7086405456</v>
      </c>
      <c r="G155" s="324">
        <f t="shared" si="23"/>
        <v>1641905.9680581391</v>
      </c>
      <c r="H155" s="324">
        <f t="shared" si="23"/>
        <v>1892654.2866458446</v>
      </c>
      <c r="I155" s="324">
        <f t="shared" si="23"/>
        <v>2164372.6721721888</v>
      </c>
    </row>
    <row r="156" spans="2:9">
      <c r="B156" s="13"/>
      <c r="C156" s="78"/>
      <c r="D156" s="78"/>
      <c r="E156" s="78"/>
      <c r="F156" s="78"/>
      <c r="G156" s="78"/>
      <c r="H156" s="78"/>
      <c r="I156" s="78"/>
    </row>
    <row r="157" spans="2:9">
      <c r="B157" s="80" t="s">
        <v>338</v>
      </c>
      <c r="C157" s="81" t="s">
        <v>2</v>
      </c>
      <c r="D157" s="81" t="s">
        <v>3</v>
      </c>
      <c r="E157" s="81" t="s">
        <v>4</v>
      </c>
      <c r="F157" s="81" t="s">
        <v>5</v>
      </c>
      <c r="G157" s="81" t="s">
        <v>6</v>
      </c>
      <c r="H157" s="81" t="s">
        <v>168</v>
      </c>
      <c r="I157" s="81" t="s">
        <v>167</v>
      </c>
    </row>
    <row r="158" spans="2:9">
      <c r="B158" s="72" t="str">
        <f>B146</f>
        <v>Faclitiy 1 - Cleaning &amp; Grading</v>
      </c>
      <c r="C158" s="74">
        <f>'6.Cons Profit &amp; Loss'!B8</f>
        <v>38669305.040325001</v>
      </c>
      <c r="D158" s="74">
        <f>'6.Cons Profit &amp; Loss'!C8</f>
        <v>46793696.527627878</v>
      </c>
      <c r="E158" s="74">
        <f>'6.Cons Profit &amp; Loss'!D8</f>
        <v>53620390.401340619</v>
      </c>
      <c r="F158" s="74">
        <f>'6.Cons Profit &amp; Loss'!E8</f>
        <v>61012769.421105556</v>
      </c>
      <c r="G158" s="74">
        <f>'6.Cons Profit &amp; Loss'!F8</f>
        <v>69010335.366843656</v>
      </c>
      <c r="H158" s="74">
        <f>'6.Cons Profit &amp; Loss'!G8</f>
        <v>77655125.983602792</v>
      </c>
      <c r="I158" s="74">
        <f>'6.Cons Profit &amp; Loss'!H8</f>
        <v>86991869.823620722</v>
      </c>
    </row>
    <row r="159" spans="2:9">
      <c r="B159" s="72" t="str">
        <f>B147</f>
        <v>Faclitiy 2 - Processing Unit- Atta Mill</v>
      </c>
      <c r="C159" s="74">
        <f>'6.Cons Profit &amp; Loss'!B9</f>
        <v>8780273.7299999986</v>
      </c>
      <c r="D159" s="74">
        <f>'6.Cons Profit &amp; Loss'!C9</f>
        <v>9833906.5775999986</v>
      </c>
      <c r="E159" s="74">
        <f>'6.Cons Profit &amp; Loss'!D9</f>
        <v>10970952.025634997</v>
      </c>
      <c r="F159" s="74">
        <f>'6.Cons Profit &amp; Loss'!E9</f>
        <v>12197117.252029499</v>
      </c>
      <c r="G159" s="74">
        <f>'6.Cons Profit &amp; Loss'!F9</f>
        <v>13518471.620999362</v>
      </c>
      <c r="H159" s="74">
        <f>'6.Cons Profit &amp; Loss'!G9</f>
        <v>14941468.633736139</v>
      </c>
      <c r="I159" s="74">
        <f>'6.Cons Profit &amp; Loss'!H9</f>
        <v>16472969.168694096</v>
      </c>
    </row>
    <row r="160" spans="2:9">
      <c r="B160" s="72" t="str">
        <f>B148</f>
        <v>Faclitiy 3 - Warehouse</v>
      </c>
      <c r="C160" s="74">
        <f>'6.Cons Profit &amp; Loss'!B10</f>
        <v>0</v>
      </c>
      <c r="D160" s="74">
        <f>'6.Cons Profit &amp; Loss'!C10</f>
        <v>0</v>
      </c>
      <c r="E160" s="74">
        <f>'6.Cons Profit &amp; Loss'!D10</f>
        <v>0</v>
      </c>
      <c r="F160" s="74">
        <f>'6.Cons Profit &amp; Loss'!E10</f>
        <v>0</v>
      </c>
      <c r="G160" s="74">
        <f>'6.Cons Profit &amp; Loss'!F10</f>
        <v>0</v>
      </c>
      <c r="H160" s="74">
        <f>'6.Cons Profit &amp; Loss'!G10</f>
        <v>0</v>
      </c>
      <c r="I160" s="74">
        <f>'6.Cons Profit &amp; Loss'!H10</f>
        <v>0</v>
      </c>
    </row>
    <row r="161" spans="2:13">
      <c r="B161" s="72">
        <f t="shared" ref="B161" si="24">B149</f>
        <v>0</v>
      </c>
      <c r="C161" s="74">
        <f>'6.Cons Profit &amp; Loss'!B11</f>
        <v>0</v>
      </c>
      <c r="D161" s="74">
        <f>'6.Cons Profit &amp; Loss'!C11</f>
        <v>0</v>
      </c>
      <c r="E161" s="74">
        <f>'6.Cons Profit &amp; Loss'!D11</f>
        <v>0</v>
      </c>
      <c r="F161" s="74">
        <f>'6.Cons Profit &amp; Loss'!E11</f>
        <v>0</v>
      </c>
      <c r="G161" s="74">
        <f>'6.Cons Profit &amp; Loss'!F11</f>
        <v>0</v>
      </c>
      <c r="H161" s="74">
        <f>'6.Cons Profit &amp; Loss'!G11</f>
        <v>0</v>
      </c>
      <c r="I161" s="74">
        <f>'6.Cons Profit &amp; Loss'!H11</f>
        <v>0</v>
      </c>
    </row>
    <row r="162" spans="2:13">
      <c r="B162" s="72" t="s">
        <v>331</v>
      </c>
      <c r="C162" s="74">
        <f t="shared" ref="C162:I162" si="25">SUM(C158:C161)</f>
        <v>47449578.770324998</v>
      </c>
      <c r="D162" s="74">
        <f t="shared" si="25"/>
        <v>56627603.105227873</v>
      </c>
      <c r="E162" s="74">
        <f t="shared" si="25"/>
        <v>64591342.426975615</v>
      </c>
      <c r="F162" s="74">
        <f t="shared" si="25"/>
        <v>73209886.673135057</v>
      </c>
      <c r="G162" s="74">
        <f t="shared" si="25"/>
        <v>82528806.987843022</v>
      </c>
      <c r="H162" s="74">
        <f t="shared" si="25"/>
        <v>92596594.617338926</v>
      </c>
      <c r="I162" s="74">
        <f t="shared" si="25"/>
        <v>103464838.99231482</v>
      </c>
    </row>
    <row r="163" spans="2:13">
      <c r="B163" s="72" t="s">
        <v>332</v>
      </c>
      <c r="C163" s="74"/>
      <c r="D163" s="74"/>
      <c r="E163" s="74"/>
      <c r="F163" s="74"/>
      <c r="G163" s="74"/>
      <c r="H163" s="74"/>
      <c r="I163" s="74"/>
    </row>
    <row r="164" spans="2:13">
      <c r="B164" s="72" t="s">
        <v>333</v>
      </c>
      <c r="C164" s="74">
        <f>'6.Cons Profit &amp; Loss'!B27</f>
        <v>729835.76785714284</v>
      </c>
      <c r="D164" s="74">
        <f>'6.Cons Profit &amp; Loss'!C27</f>
        <v>772226.43187500001</v>
      </c>
      <c r="E164" s="74">
        <f>'6.Cons Profit &amp; Loss'!D27</f>
        <v>817031.57287500007</v>
      </c>
      <c r="F164" s="74">
        <f>'6.Cons Profit &amp; Loss'!E27</f>
        <v>864386.6618953126</v>
      </c>
      <c r="G164" s="74">
        <f>'6.Cons Profit &amp; Loss'!F27</f>
        <v>914434.68088546884</v>
      </c>
      <c r="H164" s="74">
        <f>'6.Cons Profit &amp; Loss'!G27</f>
        <v>967326.53511990258</v>
      </c>
      <c r="I164" s="74">
        <f>'6.Cons Profit &amp; Loss'!H27</f>
        <v>1023221.488075566</v>
      </c>
    </row>
    <row r="165" spans="2:13">
      <c r="B165" s="72" t="s">
        <v>292</v>
      </c>
      <c r="C165" s="74">
        <f>'6.Cons Profit &amp; Loss'!B19*(1-$M$124)</f>
        <v>43303562.533027895</v>
      </c>
      <c r="D165" s="74">
        <f>'6.Cons Profit &amp; Loss'!C19*(1-$M$124)</f>
        <v>52021910.180891201</v>
      </c>
      <c r="E165" s="74">
        <f>'6.Cons Profit &amp; Loss'!D19*(1-$M$124)</f>
        <v>59346864.258749977</v>
      </c>
      <c r="F165" s="74">
        <f>'6.Cons Profit &amp; Loss'!E19*(1-$M$124)</f>
        <v>67274258.968942434</v>
      </c>
      <c r="G165" s="74">
        <f>'6.Cons Profit &amp; Loss'!F19*(1-$M$124)</f>
        <v>75846025.989507258</v>
      </c>
      <c r="H165" s="74">
        <f>'6.Cons Profit &amp; Loss'!G19*(1-$M$124)</f>
        <v>85106784.064706221</v>
      </c>
      <c r="I165" s="74">
        <f>'6.Cons Profit &amp; Loss'!H19*(1-$M$124)</f>
        <v>95104002.882451311</v>
      </c>
    </row>
    <row r="166" spans="2:13">
      <c r="B166" s="72" t="s">
        <v>334</v>
      </c>
      <c r="C166" s="74">
        <f t="shared" ref="C166:I166" si="26">SUM(C164:C165)</f>
        <v>44033398.300885037</v>
      </c>
      <c r="D166" s="74">
        <f t="shared" si="26"/>
        <v>52794136.612766199</v>
      </c>
      <c r="E166" s="74">
        <f t="shared" si="26"/>
        <v>60163895.831624977</v>
      </c>
      <c r="F166" s="74">
        <f t="shared" si="26"/>
        <v>68138645.630837753</v>
      </c>
      <c r="G166" s="74">
        <f t="shared" si="26"/>
        <v>76760460.670392722</v>
      </c>
      <c r="H166" s="74">
        <f t="shared" si="26"/>
        <v>86074110.599826127</v>
      </c>
      <c r="I166" s="74">
        <f t="shared" si="26"/>
        <v>96127224.37052688</v>
      </c>
    </row>
    <row r="167" spans="2:13">
      <c r="B167" s="75" t="s">
        <v>335</v>
      </c>
      <c r="C167" s="323">
        <f t="shared" ref="C167:I167" si="27">+C162-C166</f>
        <v>3416180.469439961</v>
      </c>
      <c r="D167" s="323">
        <f t="shared" si="27"/>
        <v>3833466.4924616739</v>
      </c>
      <c r="E167" s="323">
        <f t="shared" si="27"/>
        <v>4427446.595350638</v>
      </c>
      <c r="F167" s="323">
        <f t="shared" si="27"/>
        <v>5071241.0422973037</v>
      </c>
      <c r="G167" s="323">
        <f t="shared" si="27"/>
        <v>5768346.3174502999</v>
      </c>
      <c r="H167" s="323">
        <f t="shared" si="27"/>
        <v>6522484.0175127983</v>
      </c>
      <c r="I167" s="323">
        <f t="shared" si="27"/>
        <v>7337614.6217879355</v>
      </c>
    </row>
    <row r="169" spans="2:13" ht="41.1" customHeight="1">
      <c r="B169" s="453" t="s">
        <v>490</v>
      </c>
      <c r="C169" s="453"/>
      <c r="D169" s="453"/>
      <c r="E169" s="453"/>
      <c r="F169" s="453"/>
      <c r="G169" s="453"/>
      <c r="H169" s="453"/>
      <c r="I169" s="453"/>
      <c r="J169" s="330"/>
      <c r="K169" s="330"/>
      <c r="L169" s="330"/>
      <c r="M169" s="330"/>
    </row>
  </sheetData>
  <mergeCells count="20">
    <mergeCell ref="B5:J5"/>
    <mergeCell ref="B26:I26"/>
    <mergeCell ref="B51:I51"/>
    <mergeCell ref="B24:J24"/>
    <mergeCell ref="B48:J48"/>
    <mergeCell ref="B169:I169"/>
    <mergeCell ref="B120:I120"/>
    <mergeCell ref="K120:R120"/>
    <mergeCell ref="D20:J20"/>
    <mergeCell ref="D22:J22"/>
    <mergeCell ref="B72:J72"/>
    <mergeCell ref="B85:I85"/>
    <mergeCell ref="B100:J100"/>
    <mergeCell ref="B118:J118"/>
    <mergeCell ref="B102:I102"/>
    <mergeCell ref="B73:I73"/>
    <mergeCell ref="C79:I79"/>
    <mergeCell ref="C80:I80"/>
    <mergeCell ref="C82:I82"/>
    <mergeCell ref="B87:J87"/>
  </mergeCells>
  <hyperlinks>
    <hyperlink ref="B24" r:id="rId1" display="https://www.investopedia.com/terms/d/discountrate.asp"/>
  </hyperlinks>
  <pageMargins left="0.7" right="0.7" top="0.75" bottom="0.75" header="0.3" footer="0.3"/>
  <pageSetup scale="55" orientation="portrait" r:id="rId2"/>
  <rowBreaks count="2" manualBreakCount="2">
    <brk id="74" min="1" max="9" man="1"/>
    <brk id="156" min="1" max="9" man="1"/>
  </rowBreaks>
  <colBreaks count="1" manualBreakCount="1">
    <brk id="10" max="17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topLeftCell="A43" zoomScaleNormal="100" zoomScaleSheetLayoutView="115" workbookViewId="0">
      <selection activeCell="D116" sqref="D11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4" ht="18.75">
      <c r="A1" s="419" t="s">
        <v>539</v>
      </c>
      <c r="B1" s="419"/>
      <c r="C1" s="419"/>
      <c r="D1" s="419"/>
      <c r="E1" s="419"/>
      <c r="F1" s="419"/>
      <c r="G1" s="419"/>
      <c r="H1" s="419"/>
    </row>
    <row r="2" spans="1:24">
      <c r="B2" s="4"/>
    </row>
    <row r="3" spans="1:24" ht="18.75">
      <c r="A3" s="465" t="s">
        <v>518</v>
      </c>
      <c r="B3" s="465"/>
    </row>
    <row r="4" spans="1:24">
      <c r="A4" s="282" t="s">
        <v>0</v>
      </c>
      <c r="B4" s="296" t="s">
        <v>370</v>
      </c>
      <c r="C4" s="297"/>
      <c r="D4" s="297"/>
      <c r="E4" s="297"/>
      <c r="F4" s="297"/>
      <c r="G4" s="297"/>
      <c r="H4" s="297"/>
    </row>
    <row r="5" spans="1:24">
      <c r="A5" s="10" t="s">
        <v>461</v>
      </c>
      <c r="B5" s="278">
        <v>260</v>
      </c>
      <c r="C5" s="298"/>
      <c r="D5" s="299"/>
      <c r="E5" s="299"/>
      <c r="F5" s="299"/>
      <c r="G5" s="299"/>
      <c r="H5" s="299"/>
    </row>
    <row r="6" spans="1:24">
      <c r="A6" s="10" t="s">
        <v>462</v>
      </c>
      <c r="B6" s="278">
        <v>1920</v>
      </c>
      <c r="C6" s="298"/>
      <c r="D6" s="299"/>
      <c r="E6" s="299"/>
      <c r="F6" s="299"/>
      <c r="G6" s="299"/>
      <c r="H6" s="299"/>
    </row>
    <row r="7" spans="1:24">
      <c r="A7" s="2" t="s">
        <v>1</v>
      </c>
      <c r="B7" s="320">
        <f>B5+B6</f>
        <v>2180</v>
      </c>
      <c r="C7" s="300"/>
      <c r="D7" s="301"/>
      <c r="E7" s="301"/>
      <c r="F7" s="301"/>
      <c r="G7" s="301"/>
      <c r="H7" s="301"/>
    </row>
    <row r="8" spans="1:24">
      <c r="A8" s="2" t="s">
        <v>463</v>
      </c>
      <c r="B8" s="319">
        <v>3</v>
      </c>
      <c r="C8" s="300"/>
      <c r="D8" s="373"/>
      <c r="E8" s="374" t="s">
        <v>626</v>
      </c>
      <c r="F8" s="300"/>
      <c r="G8" s="300"/>
      <c r="H8" s="300"/>
    </row>
    <row r="9" spans="1:24">
      <c r="A9" s="2" t="s">
        <v>468</v>
      </c>
      <c r="B9" s="320">
        <f>B7*B8</f>
        <v>6540</v>
      </c>
      <c r="C9" s="301">
        <f>B9/2.5</f>
        <v>2616</v>
      </c>
      <c r="D9" s="301"/>
      <c r="E9" s="301"/>
      <c r="F9" s="301"/>
      <c r="G9" s="301"/>
      <c r="H9" s="301"/>
    </row>
    <row r="11" spans="1:24" ht="18.75">
      <c r="A11" s="419" t="s">
        <v>519</v>
      </c>
      <c r="B11" s="419"/>
      <c r="C11" s="419"/>
      <c r="D11" s="419"/>
      <c r="E11" s="419"/>
      <c r="F11" s="419"/>
      <c r="G11" s="419"/>
      <c r="H11" s="419"/>
      <c r="I11" s="277"/>
      <c r="J11" s="277"/>
      <c r="K11" s="277"/>
      <c r="L11" s="277"/>
      <c r="M11" s="277"/>
      <c r="N11" s="277"/>
      <c r="O11" s="277"/>
      <c r="P11" s="277"/>
    </row>
    <row r="12" spans="1:24">
      <c r="J12" s="3"/>
      <c r="K12" s="292"/>
      <c r="L12" s="292"/>
      <c r="M12" s="292"/>
      <c r="N12" s="292"/>
      <c r="O12" s="3"/>
      <c r="P12" s="3"/>
      <c r="Q12" s="3"/>
      <c r="R12" s="3"/>
      <c r="S12" s="3"/>
      <c r="T12" s="3"/>
      <c r="U12" s="3"/>
      <c r="V12" s="6"/>
      <c r="W12" s="6"/>
      <c r="X12" s="6"/>
    </row>
    <row r="13" spans="1:24" ht="45">
      <c r="A13" s="282" t="s">
        <v>374</v>
      </c>
      <c r="B13" s="282" t="s">
        <v>375</v>
      </c>
      <c r="C13" s="283" t="s">
        <v>410</v>
      </c>
      <c r="D13" s="283" t="s">
        <v>418</v>
      </c>
      <c r="E13" s="283" t="s">
        <v>419</v>
      </c>
      <c r="F13" s="283" t="s">
        <v>376</v>
      </c>
      <c r="G13" s="283" t="s">
        <v>582</v>
      </c>
      <c r="H13" s="283" t="s">
        <v>377</v>
      </c>
      <c r="O13" s="291"/>
      <c r="P13" s="291"/>
      <c r="Q13" s="291"/>
      <c r="R13" s="291"/>
      <c r="S13" s="291"/>
      <c r="T13" s="291"/>
      <c r="U13" s="291"/>
      <c r="V13" s="291"/>
      <c r="W13" s="291"/>
      <c r="X13" s="291"/>
    </row>
    <row r="14" spans="1:24">
      <c r="A14" s="469" t="s">
        <v>378</v>
      </c>
      <c r="B14" s="278" t="s">
        <v>166</v>
      </c>
      <c r="C14" s="289">
        <v>0</v>
      </c>
      <c r="D14" s="379">
        <v>0</v>
      </c>
      <c r="E14" s="385">
        <v>0</v>
      </c>
      <c r="F14" s="379">
        <f>D14*E14</f>
        <v>0</v>
      </c>
      <c r="G14" s="391">
        <v>0</v>
      </c>
      <c r="H14" s="379">
        <f>(F14-F14*G14)</f>
        <v>0</v>
      </c>
    </row>
    <row r="15" spans="1:24">
      <c r="A15" s="470"/>
      <c r="B15" s="278" t="s">
        <v>442</v>
      </c>
      <c r="C15" s="289">
        <v>0.3</v>
      </c>
      <c r="D15" s="379">
        <f>B9*0.1*C15</f>
        <v>196.2</v>
      </c>
      <c r="E15" s="385">
        <v>5</v>
      </c>
      <c r="F15" s="379">
        <f t="shared" ref="F15:F37" si="0">D15*E15</f>
        <v>981</v>
      </c>
      <c r="G15" s="391">
        <v>0.05</v>
      </c>
      <c r="H15" s="379">
        <f>(F15-F15*G15)</f>
        <v>931.95</v>
      </c>
    </row>
    <row r="16" spans="1:24">
      <c r="A16" s="470"/>
      <c r="B16" s="278" t="s">
        <v>441</v>
      </c>
      <c r="C16" s="289">
        <v>0</v>
      </c>
      <c r="D16" s="379">
        <f>$B$9*C16</f>
        <v>0</v>
      </c>
      <c r="E16" s="385">
        <v>0</v>
      </c>
      <c r="F16" s="379">
        <f t="shared" si="0"/>
        <v>0</v>
      </c>
      <c r="G16" s="391">
        <v>0</v>
      </c>
      <c r="H16" s="379">
        <f t="shared" ref="H16:H37" si="1">(F16-F16*G16)</f>
        <v>0</v>
      </c>
    </row>
    <row r="17" spans="1:8">
      <c r="A17" s="470"/>
      <c r="B17" s="278" t="s">
        <v>439</v>
      </c>
      <c r="C17" s="289">
        <v>0</v>
      </c>
      <c r="D17" s="379">
        <f t="shared" ref="D17:D20" si="2">$B$9*C17</f>
        <v>0</v>
      </c>
      <c r="E17" s="385">
        <v>0</v>
      </c>
      <c r="F17" s="379">
        <f t="shared" si="0"/>
        <v>0</v>
      </c>
      <c r="G17" s="391">
        <v>0</v>
      </c>
      <c r="H17" s="379">
        <f t="shared" si="1"/>
        <v>0</v>
      </c>
    </row>
    <row r="18" spans="1:8">
      <c r="A18" s="470"/>
      <c r="B18" s="278" t="s">
        <v>379</v>
      </c>
      <c r="C18" s="376">
        <v>0.7</v>
      </c>
      <c r="D18" s="379">
        <f>B9*0.1*C18</f>
        <v>457.79999999999995</v>
      </c>
      <c r="E18" s="385">
        <v>20</v>
      </c>
      <c r="F18" s="379">
        <f t="shared" si="0"/>
        <v>9156</v>
      </c>
      <c r="G18" s="392">
        <v>0.15</v>
      </c>
      <c r="H18" s="379">
        <f>(F18-F18*G18)</f>
        <v>7782.6</v>
      </c>
    </row>
    <row r="19" spans="1:8">
      <c r="A19" s="470"/>
      <c r="B19" s="278" t="s">
        <v>440</v>
      </c>
      <c r="C19" s="289">
        <v>0</v>
      </c>
      <c r="D19" s="379">
        <f>$B$9*C19</f>
        <v>0</v>
      </c>
      <c r="E19" s="385">
        <v>0</v>
      </c>
      <c r="F19" s="379">
        <f t="shared" si="0"/>
        <v>0</v>
      </c>
      <c r="G19" s="391">
        <v>0</v>
      </c>
      <c r="H19" s="379">
        <f t="shared" si="1"/>
        <v>0</v>
      </c>
    </row>
    <row r="20" spans="1:8">
      <c r="A20" s="470"/>
      <c r="B20" s="278" t="s">
        <v>433</v>
      </c>
      <c r="C20" s="289">
        <v>0</v>
      </c>
      <c r="D20" s="379">
        <f t="shared" si="2"/>
        <v>0</v>
      </c>
      <c r="E20" s="385">
        <v>0</v>
      </c>
      <c r="F20" s="379">
        <f t="shared" si="0"/>
        <v>0</v>
      </c>
      <c r="G20" s="391">
        <v>0</v>
      </c>
      <c r="H20" s="379">
        <f t="shared" si="1"/>
        <v>0</v>
      </c>
    </row>
    <row r="21" spans="1:8">
      <c r="A21" s="470"/>
      <c r="B21" s="278" t="s">
        <v>383</v>
      </c>
      <c r="C21" s="289">
        <v>0</v>
      </c>
      <c r="D21" s="379">
        <v>0</v>
      </c>
      <c r="E21" s="385"/>
      <c r="F21" s="379">
        <f t="shared" si="0"/>
        <v>0</v>
      </c>
      <c r="G21" s="391">
        <v>0</v>
      </c>
      <c r="H21" s="379">
        <f t="shared" si="1"/>
        <v>0</v>
      </c>
    </row>
    <row r="22" spans="1:8">
      <c r="A22" s="471"/>
      <c r="B22" s="278" t="s">
        <v>443</v>
      </c>
      <c r="C22" s="289">
        <v>0</v>
      </c>
      <c r="D22" s="379">
        <v>0</v>
      </c>
      <c r="E22" s="385"/>
      <c r="F22" s="379">
        <f t="shared" si="0"/>
        <v>0</v>
      </c>
      <c r="G22" s="391">
        <v>0</v>
      </c>
      <c r="H22" s="379">
        <f t="shared" si="1"/>
        <v>0</v>
      </c>
    </row>
    <row r="23" spans="1:8">
      <c r="A23" s="371" t="s">
        <v>628</v>
      </c>
      <c r="B23" s="278">
        <v>70</v>
      </c>
      <c r="C23" s="289"/>
      <c r="D23" s="379"/>
      <c r="E23" s="385"/>
      <c r="F23" s="379"/>
      <c r="G23" s="391"/>
      <c r="H23" s="379"/>
    </row>
    <row r="24" spans="1:8">
      <c r="A24" s="304" t="s">
        <v>446</v>
      </c>
      <c r="B24" s="312">
        <v>0.85</v>
      </c>
      <c r="C24" s="314">
        <f>B9*B24</f>
        <v>5559</v>
      </c>
      <c r="D24" s="379"/>
      <c r="E24" s="385"/>
      <c r="F24" s="379"/>
      <c r="G24" s="391"/>
      <c r="H24" s="379"/>
    </row>
    <row r="25" spans="1:8">
      <c r="A25" s="469" t="s">
        <v>380</v>
      </c>
      <c r="B25" s="278" t="s">
        <v>381</v>
      </c>
      <c r="C25" s="289">
        <v>0</v>
      </c>
      <c r="D25" s="379">
        <f>C$24*C25</f>
        <v>0</v>
      </c>
      <c r="E25" s="385">
        <v>0</v>
      </c>
      <c r="F25" s="379">
        <f t="shared" si="0"/>
        <v>0</v>
      </c>
      <c r="G25" s="391">
        <v>0</v>
      </c>
      <c r="H25" s="379">
        <f t="shared" si="1"/>
        <v>0</v>
      </c>
    </row>
    <row r="26" spans="1:8">
      <c r="A26" s="470"/>
      <c r="B26" s="278" t="s">
        <v>382</v>
      </c>
      <c r="C26" s="289">
        <v>0.15</v>
      </c>
      <c r="D26" s="379">
        <f>C$24*C26</f>
        <v>833.85</v>
      </c>
      <c r="E26" s="385">
        <v>5</v>
      </c>
      <c r="F26" s="379">
        <f t="shared" si="0"/>
        <v>4169.25</v>
      </c>
      <c r="G26" s="391">
        <v>0.02</v>
      </c>
      <c r="H26" s="379">
        <f t="shared" si="1"/>
        <v>4085.8649999999998</v>
      </c>
    </row>
    <row r="27" spans="1:8">
      <c r="A27" s="470"/>
      <c r="B27" s="278" t="s">
        <v>383</v>
      </c>
      <c r="C27" s="289">
        <v>0.85</v>
      </c>
      <c r="D27" s="379">
        <f>C$24*C27</f>
        <v>4725.1499999999996</v>
      </c>
      <c r="E27" s="385">
        <v>5</v>
      </c>
      <c r="F27" s="379">
        <f t="shared" si="0"/>
        <v>23625.75</v>
      </c>
      <c r="G27" s="392">
        <v>0.2</v>
      </c>
      <c r="H27" s="379">
        <f t="shared" si="1"/>
        <v>18900.599999999999</v>
      </c>
    </row>
    <row r="28" spans="1:8">
      <c r="A28" s="470"/>
      <c r="B28" s="278" t="s">
        <v>379</v>
      </c>
      <c r="C28" s="289">
        <v>0</v>
      </c>
      <c r="D28" s="379">
        <f>C24*C28</f>
        <v>0</v>
      </c>
      <c r="E28" s="385">
        <v>0</v>
      </c>
      <c r="F28" s="379">
        <f t="shared" si="0"/>
        <v>0</v>
      </c>
      <c r="G28" s="392">
        <v>0</v>
      </c>
      <c r="H28" s="379">
        <f t="shared" si="1"/>
        <v>0</v>
      </c>
    </row>
    <row r="29" spans="1:8">
      <c r="A29" s="470"/>
      <c r="B29" s="278" t="s">
        <v>444</v>
      </c>
      <c r="C29" s="289">
        <v>0</v>
      </c>
      <c r="D29" s="379">
        <f t="shared" ref="D29:D32" si="3">C$24*C29</f>
        <v>0</v>
      </c>
      <c r="E29" s="385"/>
      <c r="F29" s="379">
        <f t="shared" si="0"/>
        <v>0</v>
      </c>
      <c r="G29" s="391">
        <v>0</v>
      </c>
      <c r="H29" s="379">
        <f t="shared" si="1"/>
        <v>0</v>
      </c>
    </row>
    <row r="30" spans="1:8">
      <c r="A30" s="470"/>
      <c r="B30" s="278"/>
      <c r="C30" s="289">
        <v>0</v>
      </c>
      <c r="D30" s="379">
        <f t="shared" si="3"/>
        <v>0</v>
      </c>
      <c r="E30" s="385"/>
      <c r="F30" s="379">
        <f t="shared" si="0"/>
        <v>0</v>
      </c>
      <c r="G30" s="391">
        <v>0</v>
      </c>
      <c r="H30" s="379">
        <f t="shared" si="1"/>
        <v>0</v>
      </c>
    </row>
    <row r="31" spans="1:8">
      <c r="A31" s="470"/>
      <c r="B31" s="278"/>
      <c r="C31" s="289">
        <v>0</v>
      </c>
      <c r="D31" s="379">
        <f t="shared" si="3"/>
        <v>0</v>
      </c>
      <c r="E31" s="385"/>
      <c r="F31" s="379">
        <f t="shared" si="0"/>
        <v>0</v>
      </c>
      <c r="G31" s="391">
        <v>0</v>
      </c>
      <c r="H31" s="379">
        <f t="shared" si="1"/>
        <v>0</v>
      </c>
    </row>
    <row r="32" spans="1:8">
      <c r="A32" s="471"/>
      <c r="B32" s="278"/>
      <c r="C32" s="289">
        <v>0</v>
      </c>
      <c r="D32" s="379">
        <f t="shared" si="3"/>
        <v>0</v>
      </c>
      <c r="E32" s="385"/>
      <c r="F32" s="379">
        <f t="shared" si="0"/>
        <v>0</v>
      </c>
      <c r="G32" s="391">
        <v>0</v>
      </c>
      <c r="H32" s="379">
        <f t="shared" si="1"/>
        <v>0</v>
      </c>
    </row>
    <row r="33" spans="1:9">
      <c r="A33" s="304" t="s">
        <v>445</v>
      </c>
      <c r="B33" s="312">
        <v>0.05</v>
      </c>
      <c r="C33" s="284">
        <f>B9*B33</f>
        <v>327</v>
      </c>
      <c r="D33" s="379"/>
      <c r="E33" s="385"/>
      <c r="F33" s="379"/>
      <c r="G33" s="391"/>
      <c r="H33" s="379"/>
    </row>
    <row r="34" spans="1:9">
      <c r="A34" s="315" t="s">
        <v>424</v>
      </c>
      <c r="B34" s="278" t="s">
        <v>379</v>
      </c>
      <c r="C34" s="289">
        <v>1</v>
      </c>
      <c r="D34" s="379">
        <f>C$33*C34</f>
        <v>327</v>
      </c>
      <c r="E34" s="385">
        <v>18</v>
      </c>
      <c r="F34" s="379">
        <f t="shared" si="0"/>
        <v>5886</v>
      </c>
      <c r="G34" s="391">
        <v>0.15</v>
      </c>
      <c r="H34" s="379">
        <f t="shared" si="1"/>
        <v>5003.1000000000004</v>
      </c>
    </row>
    <row r="35" spans="1:9">
      <c r="A35" s="316"/>
      <c r="B35" s="278"/>
      <c r="C35" s="289">
        <v>0</v>
      </c>
      <c r="D35" s="379">
        <f>C$33*C35</f>
        <v>0</v>
      </c>
      <c r="E35" s="385"/>
      <c r="F35" s="379">
        <f t="shared" si="0"/>
        <v>0</v>
      </c>
      <c r="G35" s="391">
        <v>0</v>
      </c>
      <c r="H35" s="379">
        <f t="shared" si="1"/>
        <v>0</v>
      </c>
    </row>
    <row r="36" spans="1:9">
      <c r="A36" s="316"/>
      <c r="B36" s="278"/>
      <c r="C36" s="289">
        <v>0</v>
      </c>
      <c r="D36" s="379">
        <f>C$33*C36</f>
        <v>0</v>
      </c>
      <c r="E36" s="385"/>
      <c r="F36" s="379">
        <f t="shared" si="0"/>
        <v>0</v>
      </c>
      <c r="G36" s="391">
        <v>0</v>
      </c>
      <c r="H36" s="379">
        <f t="shared" si="1"/>
        <v>0</v>
      </c>
    </row>
    <row r="37" spans="1:9">
      <c r="A37" s="317"/>
      <c r="B37" s="278"/>
      <c r="C37" s="289">
        <v>0</v>
      </c>
      <c r="D37" s="379">
        <f>C$33*C37</f>
        <v>0</v>
      </c>
      <c r="E37" s="385"/>
      <c r="F37" s="379">
        <f t="shared" si="0"/>
        <v>0</v>
      </c>
      <c r="G37" s="391">
        <v>0</v>
      </c>
      <c r="H37" s="379">
        <f t="shared" si="1"/>
        <v>0</v>
      </c>
    </row>
    <row r="38" spans="1:9">
      <c r="A38" s="468" t="s">
        <v>384</v>
      </c>
      <c r="B38" s="468"/>
      <c r="C38" s="468"/>
      <c r="D38" s="468"/>
      <c r="E38" s="468"/>
      <c r="F38" s="468"/>
      <c r="G38" s="468"/>
      <c r="H38" s="468"/>
    </row>
    <row r="40" spans="1:9" ht="18.75">
      <c r="A40" s="472" t="s">
        <v>520</v>
      </c>
      <c r="B40" s="473"/>
      <c r="C40" s="473"/>
      <c r="D40" s="473"/>
      <c r="E40" s="473"/>
      <c r="F40" s="473"/>
      <c r="G40" s="473"/>
      <c r="H40" s="474"/>
    </row>
    <row r="41" spans="1:9">
      <c r="A41" s="475" t="s">
        <v>0</v>
      </c>
      <c r="B41" s="305">
        <v>0.5</v>
      </c>
      <c r="C41" s="305">
        <f>B41+0.05</f>
        <v>0.55000000000000004</v>
      </c>
      <c r="D41" s="305">
        <f t="shared" ref="D41:G41" si="4">C41+0.05</f>
        <v>0.60000000000000009</v>
      </c>
      <c r="E41" s="305">
        <f t="shared" si="4"/>
        <v>0.65000000000000013</v>
      </c>
      <c r="F41" s="305">
        <f t="shared" si="4"/>
        <v>0.70000000000000018</v>
      </c>
      <c r="G41" s="305">
        <f t="shared" si="4"/>
        <v>0.75000000000000022</v>
      </c>
      <c r="H41" s="305">
        <f>G41+0.05</f>
        <v>0.80000000000000027</v>
      </c>
    </row>
    <row r="42" spans="1:9">
      <c r="A42" s="476"/>
      <c r="B42" s="296" t="s">
        <v>2</v>
      </c>
      <c r="C42" s="296" t="s">
        <v>3</v>
      </c>
      <c r="D42" s="296" t="s">
        <v>4</v>
      </c>
      <c r="E42" s="296" t="s">
        <v>5</v>
      </c>
      <c r="F42" s="296" t="s">
        <v>6</v>
      </c>
      <c r="G42" s="296" t="s">
        <v>168</v>
      </c>
      <c r="H42" s="296" t="s">
        <v>167</v>
      </c>
    </row>
    <row r="43" spans="1:9">
      <c r="A43" s="10" t="str">
        <f t="shared" ref="A43:A51" si="5">B14</f>
        <v>Soybean</v>
      </c>
      <c r="B43" s="379">
        <f t="shared" ref="B43:B51" si="6">H14*$B$41</f>
        <v>0</v>
      </c>
      <c r="C43" s="379">
        <f t="shared" ref="C43:H53" si="7">(B43/B$41)*C$41</f>
        <v>0</v>
      </c>
      <c r="D43" s="379">
        <f t="shared" si="7"/>
        <v>0</v>
      </c>
      <c r="E43" s="379">
        <f t="shared" si="7"/>
        <v>0</v>
      </c>
      <c r="F43" s="379">
        <f t="shared" si="7"/>
        <v>0</v>
      </c>
      <c r="G43" s="379">
        <f t="shared" si="7"/>
        <v>0</v>
      </c>
      <c r="H43" s="379">
        <f t="shared" si="7"/>
        <v>0</v>
      </c>
    </row>
    <row r="44" spans="1:9">
      <c r="A44" s="10" t="str">
        <f t="shared" si="5"/>
        <v>Red Gram/Tur</v>
      </c>
      <c r="B44" s="379">
        <f>H15*$B$41</f>
        <v>465.97500000000002</v>
      </c>
      <c r="C44" s="379">
        <f t="shared" si="7"/>
        <v>512.5725000000001</v>
      </c>
      <c r="D44" s="379">
        <f t="shared" si="7"/>
        <v>559.17000000000019</v>
      </c>
      <c r="E44" s="379">
        <f t="shared" si="7"/>
        <v>605.76750000000027</v>
      </c>
      <c r="F44" s="379">
        <f t="shared" si="7"/>
        <v>652.36500000000035</v>
      </c>
      <c r="G44" s="379">
        <f t="shared" si="7"/>
        <v>698.96250000000043</v>
      </c>
      <c r="H44" s="379">
        <f t="shared" si="7"/>
        <v>745.56000000000051</v>
      </c>
      <c r="I44" s="384"/>
    </row>
    <row r="45" spans="1:9">
      <c r="A45" s="10" t="str">
        <f t="shared" si="5"/>
        <v>Paddy/Rice</v>
      </c>
      <c r="B45" s="379">
        <f t="shared" si="6"/>
        <v>0</v>
      </c>
      <c r="C45" s="379">
        <f t="shared" si="7"/>
        <v>0</v>
      </c>
      <c r="D45" s="379">
        <f t="shared" si="7"/>
        <v>0</v>
      </c>
      <c r="E45" s="379">
        <f t="shared" si="7"/>
        <v>0</v>
      </c>
      <c r="F45" s="379">
        <f t="shared" si="7"/>
        <v>0</v>
      </c>
      <c r="G45" s="379">
        <f t="shared" si="7"/>
        <v>0</v>
      </c>
      <c r="H45" s="379">
        <f t="shared" si="7"/>
        <v>0</v>
      </c>
    </row>
    <row r="46" spans="1:9">
      <c r="A46" s="10" t="str">
        <f t="shared" si="5"/>
        <v>Green Gram/ Moong</v>
      </c>
      <c r="B46" s="379">
        <f t="shared" si="6"/>
        <v>0</v>
      </c>
      <c r="C46" s="379">
        <f t="shared" si="7"/>
        <v>0</v>
      </c>
      <c r="D46" s="379">
        <f t="shared" si="7"/>
        <v>0</v>
      </c>
      <c r="E46" s="379">
        <f t="shared" si="7"/>
        <v>0</v>
      </c>
      <c r="F46" s="379">
        <f t="shared" si="7"/>
        <v>0</v>
      </c>
      <c r="G46" s="379">
        <f t="shared" si="7"/>
        <v>0</v>
      </c>
      <c r="H46" s="379">
        <f t="shared" si="7"/>
        <v>0</v>
      </c>
    </row>
    <row r="47" spans="1:9">
      <c r="A47" s="10" t="str">
        <f t="shared" si="5"/>
        <v>Maize</v>
      </c>
      <c r="B47" s="379">
        <f>H18*$B$41</f>
        <v>3891.3</v>
      </c>
      <c r="C47" s="379">
        <f t="shared" si="7"/>
        <v>4280.43</v>
      </c>
      <c r="D47" s="379">
        <f t="shared" si="7"/>
        <v>4669.5600000000004</v>
      </c>
      <c r="E47" s="379">
        <f t="shared" si="7"/>
        <v>5058.6900000000005</v>
      </c>
      <c r="F47" s="379">
        <f t="shared" si="7"/>
        <v>5447.8200000000006</v>
      </c>
      <c r="G47" s="379">
        <f t="shared" si="7"/>
        <v>5836.9500000000007</v>
      </c>
      <c r="H47" s="379">
        <f t="shared" si="7"/>
        <v>6226.0800000000008</v>
      </c>
      <c r="I47" s="384"/>
    </row>
    <row r="48" spans="1:9">
      <c r="A48" s="10" t="str">
        <f t="shared" si="5"/>
        <v>Black Gram/Udid</v>
      </c>
      <c r="B48" s="379">
        <f t="shared" si="6"/>
        <v>0</v>
      </c>
      <c r="C48" s="379">
        <f t="shared" si="7"/>
        <v>0</v>
      </c>
      <c r="D48" s="379">
        <f t="shared" si="7"/>
        <v>0</v>
      </c>
      <c r="E48" s="379">
        <f t="shared" si="7"/>
        <v>0</v>
      </c>
      <c r="F48" s="379">
        <f t="shared" si="7"/>
        <v>0</v>
      </c>
      <c r="G48" s="379">
        <f t="shared" si="7"/>
        <v>0</v>
      </c>
      <c r="H48" s="379">
        <f t="shared" si="7"/>
        <v>0</v>
      </c>
    </row>
    <row r="49" spans="1:10">
      <c r="A49" s="10" t="str">
        <f t="shared" si="5"/>
        <v>Bajra</v>
      </c>
      <c r="B49" s="379">
        <f t="shared" si="6"/>
        <v>0</v>
      </c>
      <c r="C49" s="379">
        <f t="shared" si="7"/>
        <v>0</v>
      </c>
      <c r="D49" s="379">
        <f t="shared" si="7"/>
        <v>0</v>
      </c>
      <c r="E49" s="379">
        <f t="shared" si="7"/>
        <v>0</v>
      </c>
      <c r="F49" s="379">
        <f t="shared" si="7"/>
        <v>0</v>
      </c>
      <c r="G49" s="379">
        <f t="shared" si="7"/>
        <v>0</v>
      </c>
      <c r="H49" s="379">
        <f t="shared" si="7"/>
        <v>0</v>
      </c>
    </row>
    <row r="50" spans="1:10">
      <c r="A50" s="10" t="str">
        <f t="shared" si="5"/>
        <v>Jawar</v>
      </c>
      <c r="B50" s="379">
        <f t="shared" si="6"/>
        <v>0</v>
      </c>
      <c r="C50" s="379">
        <f t="shared" si="7"/>
        <v>0</v>
      </c>
      <c r="D50" s="379">
        <f t="shared" si="7"/>
        <v>0</v>
      </c>
      <c r="E50" s="379">
        <f t="shared" si="7"/>
        <v>0</v>
      </c>
      <c r="F50" s="379">
        <f t="shared" si="7"/>
        <v>0</v>
      </c>
      <c r="G50" s="379">
        <f t="shared" si="7"/>
        <v>0</v>
      </c>
      <c r="H50" s="379">
        <f t="shared" si="7"/>
        <v>0</v>
      </c>
    </row>
    <row r="51" spans="1:10">
      <c r="A51" s="10" t="str">
        <f t="shared" si="5"/>
        <v>Sunflower</v>
      </c>
      <c r="B51" s="379">
        <f t="shared" si="6"/>
        <v>0</v>
      </c>
      <c r="C51" s="379">
        <f t="shared" si="7"/>
        <v>0</v>
      </c>
      <c r="D51" s="379">
        <f t="shared" si="7"/>
        <v>0</v>
      </c>
      <c r="E51" s="379">
        <f t="shared" si="7"/>
        <v>0</v>
      </c>
      <c r="F51" s="379">
        <f t="shared" si="7"/>
        <v>0</v>
      </c>
      <c r="G51" s="379">
        <f t="shared" si="7"/>
        <v>0</v>
      </c>
      <c r="H51" s="379">
        <f t="shared" si="7"/>
        <v>0</v>
      </c>
    </row>
    <row r="52" spans="1:10">
      <c r="A52" s="10" t="str">
        <f t="shared" ref="A52:A59" si="8">B25</f>
        <v>Wheat</v>
      </c>
      <c r="B52" s="379">
        <f t="shared" ref="B52:B59" si="9">H25*$B$41</f>
        <v>0</v>
      </c>
      <c r="C52" s="379">
        <f t="shared" si="7"/>
        <v>0</v>
      </c>
      <c r="D52" s="379">
        <f t="shared" si="7"/>
        <v>0</v>
      </c>
      <c r="E52" s="379">
        <f t="shared" si="7"/>
        <v>0</v>
      </c>
      <c r="F52" s="379">
        <f t="shared" si="7"/>
        <v>0</v>
      </c>
      <c r="G52" s="379">
        <f t="shared" si="7"/>
        <v>0</v>
      </c>
      <c r="H52" s="379">
        <f t="shared" si="7"/>
        <v>0</v>
      </c>
    </row>
    <row r="53" spans="1:10">
      <c r="A53" s="10" t="str">
        <f t="shared" si="8"/>
        <v>Bengal Gram/Channa</v>
      </c>
      <c r="B53" s="379">
        <f>H26*$B$41</f>
        <v>2042.9324999999999</v>
      </c>
      <c r="C53" s="379">
        <f t="shared" ref="C53:H62" si="10">(B53/B$41)*C$41</f>
        <v>2247.2257500000001</v>
      </c>
      <c r="D53" s="379">
        <f t="shared" si="10"/>
        <v>2451.5190000000002</v>
      </c>
      <c r="E53" s="379">
        <f t="shared" si="10"/>
        <v>2655.8122500000004</v>
      </c>
      <c r="F53" s="379">
        <f t="shared" si="7"/>
        <v>2860.1055000000006</v>
      </c>
      <c r="G53" s="379">
        <f t="shared" si="7"/>
        <v>3064.3987500000007</v>
      </c>
      <c r="H53" s="379">
        <f t="shared" si="7"/>
        <v>3268.6920000000009</v>
      </c>
      <c r="I53" s="384"/>
    </row>
    <row r="54" spans="1:10">
      <c r="A54" s="10" t="str">
        <f t="shared" si="8"/>
        <v>Jawar</v>
      </c>
      <c r="B54" s="379">
        <f>H27*$B$41</f>
        <v>9450.2999999999993</v>
      </c>
      <c r="C54" s="379">
        <f t="shared" si="10"/>
        <v>10395.33</v>
      </c>
      <c r="D54" s="379">
        <f t="shared" si="10"/>
        <v>11340.36</v>
      </c>
      <c r="E54" s="379">
        <f t="shared" si="10"/>
        <v>12285.390000000001</v>
      </c>
      <c r="F54" s="379">
        <f t="shared" si="10"/>
        <v>13230.420000000002</v>
      </c>
      <c r="G54" s="379">
        <f t="shared" si="10"/>
        <v>14175.450000000003</v>
      </c>
      <c r="H54" s="379">
        <f t="shared" si="10"/>
        <v>15120.480000000003</v>
      </c>
      <c r="I54" s="378"/>
      <c r="J54" s="378"/>
    </row>
    <row r="55" spans="1:10">
      <c r="A55" s="10" t="str">
        <f t="shared" si="8"/>
        <v>Maize</v>
      </c>
      <c r="B55" s="379">
        <f t="shared" si="9"/>
        <v>0</v>
      </c>
      <c r="C55" s="379">
        <f t="shared" si="10"/>
        <v>0</v>
      </c>
      <c r="D55" s="379">
        <f t="shared" si="10"/>
        <v>0</v>
      </c>
      <c r="E55" s="379">
        <f t="shared" si="10"/>
        <v>0</v>
      </c>
      <c r="F55" s="379">
        <f t="shared" si="10"/>
        <v>0</v>
      </c>
      <c r="G55" s="379">
        <f t="shared" si="10"/>
        <v>0</v>
      </c>
      <c r="H55" s="379">
        <f t="shared" si="10"/>
        <v>0</v>
      </c>
    </row>
    <row r="56" spans="1:10">
      <c r="A56" s="10" t="str">
        <f t="shared" si="8"/>
        <v>Safflower</v>
      </c>
      <c r="B56" s="379">
        <f t="shared" si="9"/>
        <v>0</v>
      </c>
      <c r="C56" s="379">
        <f t="shared" si="10"/>
        <v>0</v>
      </c>
      <c r="D56" s="379">
        <f t="shared" si="10"/>
        <v>0</v>
      </c>
      <c r="E56" s="379">
        <f t="shared" si="10"/>
        <v>0</v>
      </c>
      <c r="F56" s="379">
        <f t="shared" si="10"/>
        <v>0</v>
      </c>
      <c r="G56" s="379">
        <f t="shared" si="10"/>
        <v>0</v>
      </c>
      <c r="H56" s="379">
        <f t="shared" si="10"/>
        <v>0</v>
      </c>
    </row>
    <row r="57" spans="1:10">
      <c r="A57" s="10">
        <f t="shared" si="8"/>
        <v>0</v>
      </c>
      <c r="B57" s="379">
        <f t="shared" si="9"/>
        <v>0</v>
      </c>
      <c r="C57" s="379">
        <f t="shared" si="10"/>
        <v>0</v>
      </c>
      <c r="D57" s="379">
        <f t="shared" si="10"/>
        <v>0</v>
      </c>
      <c r="E57" s="379">
        <f t="shared" si="10"/>
        <v>0</v>
      </c>
      <c r="F57" s="379">
        <f t="shared" si="10"/>
        <v>0</v>
      </c>
      <c r="G57" s="379">
        <f t="shared" si="10"/>
        <v>0</v>
      </c>
      <c r="H57" s="379">
        <f t="shared" si="10"/>
        <v>0</v>
      </c>
    </row>
    <row r="58" spans="1:10">
      <c r="A58" s="10">
        <f t="shared" si="8"/>
        <v>0</v>
      </c>
      <c r="B58" s="379">
        <f t="shared" si="9"/>
        <v>0</v>
      </c>
      <c r="C58" s="379">
        <f t="shared" si="10"/>
        <v>0</v>
      </c>
      <c r="D58" s="379">
        <f t="shared" si="10"/>
        <v>0</v>
      </c>
      <c r="E58" s="379">
        <f t="shared" si="10"/>
        <v>0</v>
      </c>
      <c r="F58" s="379">
        <f t="shared" si="10"/>
        <v>0</v>
      </c>
      <c r="G58" s="379">
        <f t="shared" si="10"/>
        <v>0</v>
      </c>
      <c r="H58" s="379">
        <f t="shared" si="10"/>
        <v>0</v>
      </c>
    </row>
    <row r="59" spans="1:10">
      <c r="A59" s="10">
        <f t="shared" si="8"/>
        <v>0</v>
      </c>
      <c r="B59" s="379">
        <f t="shared" si="9"/>
        <v>0</v>
      </c>
      <c r="C59" s="379">
        <f t="shared" si="10"/>
        <v>0</v>
      </c>
      <c r="D59" s="379">
        <f t="shared" si="10"/>
        <v>0</v>
      </c>
      <c r="E59" s="379">
        <f t="shared" si="10"/>
        <v>0</v>
      </c>
      <c r="F59" s="379">
        <f t="shared" si="10"/>
        <v>0</v>
      </c>
      <c r="G59" s="379">
        <f t="shared" si="10"/>
        <v>0</v>
      </c>
      <c r="H59" s="379">
        <f t="shared" si="10"/>
        <v>0</v>
      </c>
    </row>
    <row r="60" spans="1:10">
      <c r="A60" s="10" t="str">
        <f>B34</f>
        <v>Maize</v>
      </c>
      <c r="B60" s="379">
        <f>H34*$B$41</f>
        <v>2501.5500000000002</v>
      </c>
      <c r="C60" s="379">
        <f t="shared" si="10"/>
        <v>2751.7050000000004</v>
      </c>
      <c r="D60" s="379">
        <f t="shared" si="10"/>
        <v>3001.8600000000006</v>
      </c>
      <c r="E60" s="379">
        <f t="shared" si="10"/>
        <v>3252.0150000000008</v>
      </c>
      <c r="F60" s="379">
        <f t="shared" si="10"/>
        <v>3502.170000000001</v>
      </c>
      <c r="G60" s="379">
        <f t="shared" si="10"/>
        <v>3752.3250000000012</v>
      </c>
      <c r="H60" s="379">
        <f t="shared" si="10"/>
        <v>4002.4800000000018</v>
      </c>
      <c r="I60" s="384">
        <f>B60/10</f>
        <v>250.15500000000003</v>
      </c>
    </row>
    <row r="61" spans="1:10">
      <c r="A61" s="10">
        <f>B35</f>
        <v>0</v>
      </c>
      <c r="B61" s="379">
        <f>H35*$B$41</f>
        <v>0</v>
      </c>
      <c r="C61" s="379">
        <f t="shared" si="10"/>
        <v>0</v>
      </c>
      <c r="D61" s="379">
        <f t="shared" si="10"/>
        <v>0</v>
      </c>
      <c r="E61" s="379">
        <f t="shared" si="10"/>
        <v>0</v>
      </c>
      <c r="F61" s="379">
        <f t="shared" si="10"/>
        <v>0</v>
      </c>
      <c r="G61" s="379">
        <f t="shared" si="10"/>
        <v>0</v>
      </c>
      <c r="H61" s="379">
        <f t="shared" si="10"/>
        <v>0</v>
      </c>
    </row>
    <row r="62" spans="1:10">
      <c r="A62" s="10">
        <f>B36</f>
        <v>0</v>
      </c>
      <c r="B62" s="379">
        <f>H36*$B$41</f>
        <v>0</v>
      </c>
      <c r="C62" s="379">
        <f t="shared" si="10"/>
        <v>0</v>
      </c>
      <c r="D62" s="379">
        <f t="shared" si="10"/>
        <v>0</v>
      </c>
      <c r="E62" s="379">
        <f t="shared" si="10"/>
        <v>0</v>
      </c>
      <c r="F62" s="379">
        <f t="shared" si="10"/>
        <v>0</v>
      </c>
      <c r="G62" s="379">
        <f t="shared" si="10"/>
        <v>0</v>
      </c>
      <c r="H62" s="379">
        <f t="shared" si="10"/>
        <v>0</v>
      </c>
    </row>
    <row r="63" spans="1:10">
      <c r="A63" s="10">
        <f>B37</f>
        <v>0</v>
      </c>
      <c r="B63" s="379">
        <f>H37*$B$41</f>
        <v>0</v>
      </c>
      <c r="C63" s="379">
        <f t="shared" ref="C63:H63" si="11">(B63/B$41)*C$41</f>
        <v>0</v>
      </c>
      <c r="D63" s="379">
        <f t="shared" si="11"/>
        <v>0</v>
      </c>
      <c r="E63" s="379">
        <f t="shared" si="11"/>
        <v>0</v>
      </c>
      <c r="F63" s="379">
        <f t="shared" si="11"/>
        <v>0</v>
      </c>
      <c r="G63" s="379">
        <f t="shared" si="11"/>
        <v>0</v>
      </c>
      <c r="H63" s="379">
        <f t="shared" si="11"/>
        <v>0</v>
      </c>
    </row>
    <row r="64" spans="1:10">
      <c r="B64" s="383"/>
      <c r="C64" s="384"/>
      <c r="D64" s="384"/>
      <c r="E64" s="384"/>
      <c r="F64" s="384"/>
      <c r="G64" s="384"/>
      <c r="H64" s="384"/>
    </row>
    <row r="65" spans="1:9" ht="18.75">
      <c r="A65" s="477" t="s">
        <v>521</v>
      </c>
      <c r="B65" s="478"/>
      <c r="C65" s="478"/>
      <c r="D65" s="478"/>
      <c r="E65" s="478"/>
      <c r="F65" s="478"/>
      <c r="G65" s="478"/>
      <c r="H65" s="479"/>
    </row>
    <row r="66" spans="1:9">
      <c r="A66" s="480" t="s">
        <v>0</v>
      </c>
      <c r="B66" s="306">
        <v>0.15</v>
      </c>
      <c r="C66" s="306">
        <v>0.16</v>
      </c>
      <c r="D66" s="306">
        <v>0.17</v>
      </c>
      <c r="E66" s="306">
        <v>0.18</v>
      </c>
      <c r="F66" s="306">
        <v>0.19</v>
      </c>
      <c r="G66" s="306">
        <v>0.2</v>
      </c>
      <c r="H66" s="306">
        <v>0.21</v>
      </c>
    </row>
    <row r="67" spans="1:9">
      <c r="A67" s="481"/>
      <c r="B67" s="296" t="s">
        <v>2</v>
      </c>
      <c r="C67" s="296" t="s">
        <v>3</v>
      </c>
      <c r="D67" s="296" t="s">
        <v>4</v>
      </c>
      <c r="E67" s="296" t="s">
        <v>5</v>
      </c>
      <c r="F67" s="296" t="s">
        <v>6</v>
      </c>
      <c r="G67" s="296" t="s">
        <v>168</v>
      </c>
      <c r="H67" s="296" t="s">
        <v>167</v>
      </c>
    </row>
    <row r="68" spans="1:9" s="13" customFormat="1">
      <c r="A68" s="10" t="str">
        <f t="shared" ref="A68:A88" si="12">A43</f>
        <v>Soybean</v>
      </c>
      <c r="B68" s="10">
        <f>H14*$B$66*0</f>
        <v>0</v>
      </c>
      <c r="C68" s="10">
        <f>(B68/B$66)*C$66</f>
        <v>0</v>
      </c>
      <c r="D68" s="10">
        <f t="shared" ref="D68:H69" si="13">(C68/C$66)*D$66</f>
        <v>0</v>
      </c>
      <c r="E68" s="10">
        <f t="shared" si="13"/>
        <v>0</v>
      </c>
      <c r="F68" s="10">
        <f t="shared" si="13"/>
        <v>0</v>
      </c>
      <c r="G68" s="10">
        <f t="shared" si="13"/>
        <v>0</v>
      </c>
      <c r="H68" s="10">
        <f t="shared" si="13"/>
        <v>0</v>
      </c>
    </row>
    <row r="69" spans="1:9">
      <c r="A69" s="10" t="str">
        <f t="shared" si="12"/>
        <v>Red Gram/Tur</v>
      </c>
      <c r="B69" s="10">
        <v>0</v>
      </c>
      <c r="C69" s="10">
        <f>(B69/B$66)*C$66</f>
        <v>0</v>
      </c>
      <c r="D69" s="10">
        <f t="shared" si="13"/>
        <v>0</v>
      </c>
      <c r="E69" s="10">
        <f t="shared" si="13"/>
        <v>0</v>
      </c>
      <c r="F69" s="10">
        <f t="shared" si="13"/>
        <v>0</v>
      </c>
      <c r="G69" s="10">
        <f t="shared" si="13"/>
        <v>0</v>
      </c>
      <c r="H69" s="10">
        <f t="shared" si="13"/>
        <v>0</v>
      </c>
    </row>
    <row r="70" spans="1:9">
      <c r="A70" s="10" t="str">
        <f t="shared" si="12"/>
        <v>Paddy/Rice</v>
      </c>
      <c r="B70" s="10">
        <f t="shared" ref="B70:B76" si="14">H16*$B$66</f>
        <v>0</v>
      </c>
      <c r="C70" s="10">
        <f t="shared" ref="C70:H70" si="15">(B70/B$66)*C$66</f>
        <v>0</v>
      </c>
      <c r="D70" s="10">
        <f t="shared" si="15"/>
        <v>0</v>
      </c>
      <c r="E70" s="10">
        <f t="shared" si="15"/>
        <v>0</v>
      </c>
      <c r="F70" s="10">
        <f t="shared" si="15"/>
        <v>0</v>
      </c>
      <c r="G70" s="10">
        <f t="shared" si="15"/>
        <v>0</v>
      </c>
      <c r="H70" s="10">
        <f t="shared" si="15"/>
        <v>0</v>
      </c>
    </row>
    <row r="71" spans="1:9">
      <c r="A71" s="10" t="str">
        <f t="shared" si="12"/>
        <v>Green Gram/ Moong</v>
      </c>
      <c r="B71" s="10">
        <f t="shared" si="14"/>
        <v>0</v>
      </c>
      <c r="C71" s="10">
        <f t="shared" ref="C71:H71" si="16">(B71/B$66)*C$66</f>
        <v>0</v>
      </c>
      <c r="D71" s="10">
        <f t="shared" si="16"/>
        <v>0</v>
      </c>
      <c r="E71" s="10">
        <f t="shared" si="16"/>
        <v>0</v>
      </c>
      <c r="F71" s="10">
        <f t="shared" si="16"/>
        <v>0</v>
      </c>
      <c r="G71" s="10">
        <f t="shared" si="16"/>
        <v>0</v>
      </c>
      <c r="H71" s="10">
        <f t="shared" si="16"/>
        <v>0</v>
      </c>
    </row>
    <row r="72" spans="1:9">
      <c r="A72" s="10" t="str">
        <f t="shared" si="12"/>
        <v>Maize</v>
      </c>
      <c r="B72" s="10">
        <v>0</v>
      </c>
      <c r="C72" s="10">
        <f t="shared" ref="C72:H72" si="17">(B72/B$66)*C$66</f>
        <v>0</v>
      </c>
      <c r="D72" s="10">
        <f t="shared" si="17"/>
        <v>0</v>
      </c>
      <c r="E72" s="10">
        <f t="shared" si="17"/>
        <v>0</v>
      </c>
      <c r="F72" s="10">
        <f t="shared" si="17"/>
        <v>0</v>
      </c>
      <c r="G72" s="10">
        <f t="shared" si="17"/>
        <v>0</v>
      </c>
      <c r="H72" s="10">
        <f t="shared" si="17"/>
        <v>0</v>
      </c>
    </row>
    <row r="73" spans="1:9">
      <c r="A73" s="10" t="str">
        <f t="shared" si="12"/>
        <v>Black Gram/Udid</v>
      </c>
      <c r="B73" s="10">
        <f t="shared" si="14"/>
        <v>0</v>
      </c>
      <c r="C73" s="10">
        <f t="shared" ref="C73:H73" si="18">(B73/B$66)*C$66</f>
        <v>0</v>
      </c>
      <c r="D73" s="10">
        <f t="shared" si="18"/>
        <v>0</v>
      </c>
      <c r="E73" s="10">
        <f t="shared" si="18"/>
        <v>0</v>
      </c>
      <c r="F73" s="10">
        <f t="shared" si="18"/>
        <v>0</v>
      </c>
      <c r="G73" s="10">
        <f t="shared" si="18"/>
        <v>0</v>
      </c>
      <c r="H73" s="10">
        <f t="shared" si="18"/>
        <v>0</v>
      </c>
    </row>
    <row r="74" spans="1:9">
      <c r="A74" s="10" t="str">
        <f t="shared" si="12"/>
        <v>Bajra</v>
      </c>
      <c r="B74" s="10">
        <f t="shared" si="14"/>
        <v>0</v>
      </c>
      <c r="C74" s="10">
        <f t="shared" ref="C74:H74" si="19">(B74/B$66)*C$66</f>
        <v>0</v>
      </c>
      <c r="D74" s="10">
        <f t="shared" si="19"/>
        <v>0</v>
      </c>
      <c r="E74" s="10">
        <f t="shared" si="19"/>
        <v>0</v>
      </c>
      <c r="F74" s="10">
        <f t="shared" si="19"/>
        <v>0</v>
      </c>
      <c r="G74" s="10">
        <f t="shared" si="19"/>
        <v>0</v>
      </c>
      <c r="H74" s="10">
        <f t="shared" si="19"/>
        <v>0</v>
      </c>
    </row>
    <row r="75" spans="1:9">
      <c r="A75" s="10" t="str">
        <f t="shared" si="12"/>
        <v>Jawar</v>
      </c>
      <c r="B75" s="10">
        <f t="shared" si="14"/>
        <v>0</v>
      </c>
      <c r="C75" s="10">
        <f t="shared" ref="C75:H75" si="20">(B75/B$66)*C$66</f>
        <v>0</v>
      </c>
      <c r="D75" s="10">
        <f t="shared" si="20"/>
        <v>0</v>
      </c>
      <c r="E75" s="10">
        <f t="shared" si="20"/>
        <v>0</v>
      </c>
      <c r="F75" s="10">
        <f t="shared" si="20"/>
        <v>0</v>
      </c>
      <c r="G75" s="10">
        <f t="shared" si="20"/>
        <v>0</v>
      </c>
      <c r="H75" s="10">
        <f t="shared" si="20"/>
        <v>0</v>
      </c>
    </row>
    <row r="76" spans="1:9">
      <c r="A76" s="10" t="str">
        <f t="shared" si="12"/>
        <v>Sunflower</v>
      </c>
      <c r="B76" s="10">
        <f t="shared" si="14"/>
        <v>0</v>
      </c>
      <c r="C76" s="10">
        <f t="shared" ref="C76:H76" si="21">(B76/B$66)*C$66</f>
        <v>0</v>
      </c>
      <c r="D76" s="10">
        <f t="shared" si="21"/>
        <v>0</v>
      </c>
      <c r="E76" s="10">
        <f t="shared" si="21"/>
        <v>0</v>
      </c>
      <c r="F76" s="10">
        <f t="shared" si="21"/>
        <v>0</v>
      </c>
      <c r="G76" s="10">
        <f t="shared" si="21"/>
        <v>0</v>
      </c>
      <c r="H76" s="10">
        <f t="shared" si="21"/>
        <v>0</v>
      </c>
    </row>
    <row r="77" spans="1:9">
      <c r="A77" s="10" t="str">
        <f t="shared" si="12"/>
        <v>Wheat</v>
      </c>
      <c r="B77" s="10">
        <f t="shared" ref="B77:B84" si="22">H25*$B$66</f>
        <v>0</v>
      </c>
      <c r="C77" s="10">
        <f t="shared" ref="C77:H77" si="23">(B77/B$66)*C$66</f>
        <v>0</v>
      </c>
      <c r="D77" s="10">
        <f t="shared" si="23"/>
        <v>0</v>
      </c>
      <c r="E77" s="10">
        <f t="shared" si="23"/>
        <v>0</v>
      </c>
      <c r="F77" s="10">
        <f t="shared" si="23"/>
        <v>0</v>
      </c>
      <c r="G77" s="10">
        <f t="shared" si="23"/>
        <v>0</v>
      </c>
      <c r="H77" s="10">
        <f t="shared" si="23"/>
        <v>0</v>
      </c>
    </row>
    <row r="78" spans="1:9">
      <c r="A78" s="10" t="str">
        <f t="shared" si="12"/>
        <v>Bengal Gram/Channa</v>
      </c>
      <c r="B78" s="10">
        <v>0</v>
      </c>
      <c r="C78" s="10">
        <f t="shared" ref="C78:H78" si="24">(B78/B$66)*C$66</f>
        <v>0</v>
      </c>
      <c r="D78" s="10">
        <f t="shared" si="24"/>
        <v>0</v>
      </c>
      <c r="E78" s="10">
        <f t="shared" si="24"/>
        <v>0</v>
      </c>
      <c r="F78" s="10">
        <f t="shared" si="24"/>
        <v>0</v>
      </c>
      <c r="G78" s="10">
        <f t="shared" si="24"/>
        <v>0</v>
      </c>
      <c r="H78" s="10">
        <f t="shared" si="24"/>
        <v>0</v>
      </c>
    </row>
    <row r="79" spans="1:9">
      <c r="A79" s="10" t="str">
        <f t="shared" si="12"/>
        <v>Jawar</v>
      </c>
      <c r="B79" s="379">
        <f>H27*$B$66</f>
        <v>2835.0899999999997</v>
      </c>
      <c r="C79" s="379">
        <f>(B79/B$66)*C$66</f>
        <v>3024.096</v>
      </c>
      <c r="D79" s="379">
        <f t="shared" ref="D79:H79" si="25">(C79/C$66)*D$66</f>
        <v>3213.1019999999999</v>
      </c>
      <c r="E79" s="379">
        <f t="shared" si="25"/>
        <v>3402.1079999999997</v>
      </c>
      <c r="F79" s="379">
        <f t="shared" si="25"/>
        <v>3591.1139999999996</v>
      </c>
      <c r="G79" s="379">
        <f t="shared" si="25"/>
        <v>3780.12</v>
      </c>
      <c r="H79" s="379">
        <f t="shared" si="25"/>
        <v>3969.1259999999997</v>
      </c>
      <c r="I79" s="384"/>
    </row>
    <row r="80" spans="1:9">
      <c r="A80" s="10" t="str">
        <f t="shared" si="12"/>
        <v>Maize</v>
      </c>
      <c r="B80" s="10">
        <f t="shared" si="22"/>
        <v>0</v>
      </c>
      <c r="C80" s="10">
        <f t="shared" ref="C80:H80" si="26">(B80/B$66)*C$66</f>
        <v>0</v>
      </c>
      <c r="D80" s="10">
        <f t="shared" si="26"/>
        <v>0</v>
      </c>
      <c r="E80" s="10">
        <f t="shared" si="26"/>
        <v>0</v>
      </c>
      <c r="F80" s="10">
        <f t="shared" si="26"/>
        <v>0</v>
      </c>
      <c r="G80" s="10">
        <f t="shared" si="26"/>
        <v>0</v>
      </c>
      <c r="H80" s="10">
        <f t="shared" si="26"/>
        <v>0</v>
      </c>
    </row>
    <row r="81" spans="1:9">
      <c r="A81" s="10" t="str">
        <f t="shared" si="12"/>
        <v>Safflower</v>
      </c>
      <c r="B81" s="10">
        <f t="shared" si="22"/>
        <v>0</v>
      </c>
      <c r="C81" s="10">
        <f t="shared" ref="C81:H81" si="27">(B81/B$66)*C$66</f>
        <v>0</v>
      </c>
      <c r="D81" s="10">
        <f t="shared" si="27"/>
        <v>0</v>
      </c>
      <c r="E81" s="10">
        <f t="shared" si="27"/>
        <v>0</v>
      </c>
      <c r="F81" s="10">
        <f t="shared" si="27"/>
        <v>0</v>
      </c>
      <c r="G81" s="10">
        <f t="shared" si="27"/>
        <v>0</v>
      </c>
      <c r="H81" s="10">
        <f t="shared" si="27"/>
        <v>0</v>
      </c>
    </row>
    <row r="82" spans="1:9">
      <c r="A82" s="10">
        <f t="shared" si="12"/>
        <v>0</v>
      </c>
      <c r="B82" s="10">
        <f t="shared" si="22"/>
        <v>0</v>
      </c>
      <c r="C82" s="10">
        <f t="shared" ref="C82:H82" si="28">(B82/B$66)*C$66</f>
        <v>0</v>
      </c>
      <c r="D82" s="10">
        <f t="shared" si="28"/>
        <v>0</v>
      </c>
      <c r="E82" s="10">
        <f t="shared" si="28"/>
        <v>0</v>
      </c>
      <c r="F82" s="10">
        <f t="shared" si="28"/>
        <v>0</v>
      </c>
      <c r="G82" s="10">
        <f t="shared" si="28"/>
        <v>0</v>
      </c>
      <c r="H82" s="10">
        <f t="shared" si="28"/>
        <v>0</v>
      </c>
    </row>
    <row r="83" spans="1:9">
      <c r="A83" s="10">
        <f t="shared" si="12"/>
        <v>0</v>
      </c>
      <c r="B83" s="10">
        <f t="shared" si="22"/>
        <v>0</v>
      </c>
      <c r="C83" s="10">
        <f t="shared" ref="C83:H83" si="29">(B83/B$66)*C$66</f>
        <v>0</v>
      </c>
      <c r="D83" s="10">
        <f t="shared" si="29"/>
        <v>0</v>
      </c>
      <c r="E83" s="10">
        <f t="shared" si="29"/>
        <v>0</v>
      </c>
      <c r="F83" s="10">
        <f t="shared" si="29"/>
        <v>0</v>
      </c>
      <c r="G83" s="10">
        <f t="shared" si="29"/>
        <v>0</v>
      </c>
      <c r="H83" s="10">
        <f t="shared" si="29"/>
        <v>0</v>
      </c>
    </row>
    <row r="84" spans="1:9">
      <c r="A84" s="10">
        <f t="shared" si="12"/>
        <v>0</v>
      </c>
      <c r="B84" s="10">
        <f t="shared" si="22"/>
        <v>0</v>
      </c>
      <c r="C84" s="10">
        <f t="shared" ref="C84:H84" si="30">(B84/B$66)*C$66</f>
        <v>0</v>
      </c>
      <c r="D84" s="10">
        <f t="shared" si="30"/>
        <v>0</v>
      </c>
      <c r="E84" s="10">
        <f t="shared" si="30"/>
        <v>0</v>
      </c>
      <c r="F84" s="10">
        <f t="shared" si="30"/>
        <v>0</v>
      </c>
      <c r="G84" s="10">
        <f t="shared" si="30"/>
        <v>0</v>
      </c>
      <c r="H84" s="10">
        <f t="shared" si="30"/>
        <v>0</v>
      </c>
    </row>
    <row r="85" spans="1:9">
      <c r="A85" s="10" t="str">
        <f t="shared" si="12"/>
        <v>Maize</v>
      </c>
      <c r="B85" s="10">
        <v>0</v>
      </c>
      <c r="C85" s="10">
        <f t="shared" ref="C85:H85" si="31">(B85/B$66)*C$66</f>
        <v>0</v>
      </c>
      <c r="D85" s="10">
        <f t="shared" si="31"/>
        <v>0</v>
      </c>
      <c r="E85" s="10">
        <f t="shared" si="31"/>
        <v>0</v>
      </c>
      <c r="F85" s="10">
        <f t="shared" si="31"/>
        <v>0</v>
      </c>
      <c r="G85" s="10">
        <f t="shared" si="31"/>
        <v>0</v>
      </c>
      <c r="H85" s="10">
        <f t="shared" si="31"/>
        <v>0</v>
      </c>
    </row>
    <row r="86" spans="1:9">
      <c r="A86" s="10">
        <f t="shared" si="12"/>
        <v>0</v>
      </c>
      <c r="B86" s="10">
        <f>H35*$B$66</f>
        <v>0</v>
      </c>
      <c r="C86" s="10">
        <f t="shared" ref="C86:H86" si="32">(B86/B$66)*C$66</f>
        <v>0</v>
      </c>
      <c r="D86" s="10">
        <f t="shared" si="32"/>
        <v>0</v>
      </c>
      <c r="E86" s="10">
        <f t="shared" si="32"/>
        <v>0</v>
      </c>
      <c r="F86" s="10">
        <f t="shared" si="32"/>
        <v>0</v>
      </c>
      <c r="G86" s="10">
        <f t="shared" si="32"/>
        <v>0</v>
      </c>
      <c r="H86" s="10">
        <f t="shared" si="32"/>
        <v>0</v>
      </c>
    </row>
    <row r="87" spans="1:9">
      <c r="A87" s="10">
        <f t="shared" si="12"/>
        <v>0</v>
      </c>
      <c r="B87" s="10">
        <f>H36*$B$66</f>
        <v>0</v>
      </c>
      <c r="C87" s="10">
        <f t="shared" ref="C87:H87" si="33">(B87/B$66)*C$66</f>
        <v>0</v>
      </c>
      <c r="D87" s="10">
        <f t="shared" si="33"/>
        <v>0</v>
      </c>
      <c r="E87" s="10">
        <f t="shared" si="33"/>
        <v>0</v>
      </c>
      <c r="F87" s="10">
        <f t="shared" si="33"/>
        <v>0</v>
      </c>
      <c r="G87" s="10">
        <f t="shared" si="33"/>
        <v>0</v>
      </c>
      <c r="H87" s="10">
        <f t="shared" si="33"/>
        <v>0</v>
      </c>
    </row>
    <row r="88" spans="1:9">
      <c r="A88" s="10">
        <f t="shared" si="12"/>
        <v>0</v>
      </c>
      <c r="B88" s="10">
        <f>H37*$B$66</f>
        <v>0</v>
      </c>
      <c r="C88" s="10">
        <f t="shared" ref="C88:H88" si="34">(B88/B$66)*C$66</f>
        <v>0</v>
      </c>
      <c r="D88" s="10">
        <f t="shared" si="34"/>
        <v>0</v>
      </c>
      <c r="E88" s="10">
        <f t="shared" si="34"/>
        <v>0</v>
      </c>
      <c r="F88" s="10">
        <f t="shared" si="34"/>
        <v>0</v>
      </c>
      <c r="G88" s="10">
        <f t="shared" si="34"/>
        <v>0</v>
      </c>
      <c r="H88" s="10">
        <f t="shared" si="34"/>
        <v>0</v>
      </c>
    </row>
    <row r="89" spans="1:9">
      <c r="B89" s="285"/>
      <c r="C89" s="285"/>
      <c r="D89" s="285"/>
      <c r="E89" s="285"/>
      <c r="F89" s="285"/>
      <c r="G89" s="285"/>
      <c r="H89" s="285"/>
      <c r="I89" s="285"/>
    </row>
    <row r="90" spans="1:9">
      <c r="A90" s="482" t="s">
        <v>522</v>
      </c>
      <c r="B90" s="483"/>
      <c r="C90" s="483"/>
      <c r="D90" s="483"/>
      <c r="E90" s="483"/>
      <c r="F90" s="483"/>
      <c r="G90" s="483"/>
      <c r="H90" s="484"/>
    </row>
    <row r="91" spans="1:9">
      <c r="A91" s="466" t="s">
        <v>0</v>
      </c>
      <c r="B91" s="328">
        <v>0.05</v>
      </c>
      <c r="C91" s="329">
        <f>B91+0.05</f>
        <v>0.1</v>
      </c>
      <c r="D91" s="329">
        <f t="shared" ref="D91:G91" si="35">C91+0.05</f>
        <v>0.15000000000000002</v>
      </c>
      <c r="E91" s="329">
        <f t="shared" si="35"/>
        <v>0.2</v>
      </c>
      <c r="F91" s="329">
        <f t="shared" si="35"/>
        <v>0.25</v>
      </c>
      <c r="G91" s="329">
        <f t="shared" si="35"/>
        <v>0.3</v>
      </c>
      <c r="H91" s="329">
        <f>G91+0.05</f>
        <v>0.35</v>
      </c>
    </row>
    <row r="92" spans="1:9">
      <c r="A92" s="467"/>
      <c r="B92" s="296" t="s">
        <v>2</v>
      </c>
      <c r="C92" s="296" t="s">
        <v>3</v>
      </c>
      <c r="D92" s="296" t="s">
        <v>4</v>
      </c>
      <c r="E92" s="296" t="s">
        <v>5</v>
      </c>
      <c r="F92" s="296" t="s">
        <v>6</v>
      </c>
      <c r="G92" s="296" t="s">
        <v>168</v>
      </c>
      <c r="H92" s="296" t="s">
        <v>167</v>
      </c>
    </row>
    <row r="93" spans="1:9" s="13" customFormat="1">
      <c r="A93" s="10" t="str">
        <f t="shared" ref="A93:A113" si="36">A68</f>
        <v>Soybean</v>
      </c>
      <c r="B93" s="10">
        <f t="shared" ref="B93:B101" si="37">D14*$B$91</f>
        <v>0</v>
      </c>
      <c r="C93" s="293">
        <f t="shared" ref="C93:H93" si="38">(B93/B$91)*C$91</f>
        <v>0</v>
      </c>
      <c r="D93" s="293">
        <f t="shared" si="38"/>
        <v>0</v>
      </c>
      <c r="E93" s="293">
        <f t="shared" si="38"/>
        <v>0</v>
      </c>
      <c r="F93" s="293">
        <f t="shared" si="38"/>
        <v>0</v>
      </c>
      <c r="G93" s="293">
        <f t="shared" si="38"/>
        <v>0</v>
      </c>
      <c r="H93" s="293">
        <f t="shared" si="38"/>
        <v>0</v>
      </c>
    </row>
    <row r="94" spans="1:9">
      <c r="A94" s="10" t="str">
        <f t="shared" si="36"/>
        <v>Red Gram/Tur</v>
      </c>
      <c r="B94" s="10">
        <f>D15*$B$91*0</f>
        <v>0</v>
      </c>
      <c r="C94" s="293">
        <f t="shared" ref="C94:C114" si="39">(B94/B$91)*C$91</f>
        <v>0</v>
      </c>
      <c r="D94" s="293">
        <f>(C94/C91)*D91</f>
        <v>0</v>
      </c>
      <c r="E94" s="293">
        <f t="shared" ref="E94:G94" si="40">(D94/D91)*E91</f>
        <v>0</v>
      </c>
      <c r="F94" s="293">
        <f t="shared" si="40"/>
        <v>0</v>
      </c>
      <c r="G94" s="293">
        <f t="shared" si="40"/>
        <v>0</v>
      </c>
      <c r="H94" s="293">
        <f>(G94/G91)*H91</f>
        <v>0</v>
      </c>
    </row>
    <row r="95" spans="1:9">
      <c r="A95" s="10" t="str">
        <f t="shared" si="36"/>
        <v>Paddy/Rice</v>
      </c>
      <c r="B95" s="10">
        <f t="shared" si="37"/>
        <v>0</v>
      </c>
      <c r="C95" s="293">
        <f t="shared" si="39"/>
        <v>0</v>
      </c>
      <c r="D95" s="293">
        <f t="shared" ref="D95:H104" si="41">(C95/C$91)*D$91</f>
        <v>0</v>
      </c>
      <c r="E95" s="293">
        <f t="shared" si="41"/>
        <v>0</v>
      </c>
      <c r="F95" s="293">
        <f t="shared" si="41"/>
        <v>0</v>
      </c>
      <c r="G95" s="293">
        <f t="shared" si="41"/>
        <v>0</v>
      </c>
      <c r="H95" s="293">
        <f t="shared" si="41"/>
        <v>0</v>
      </c>
    </row>
    <row r="96" spans="1:9">
      <c r="A96" s="10" t="str">
        <f t="shared" si="36"/>
        <v>Green Gram/ Moong</v>
      </c>
      <c r="B96" s="10">
        <f t="shared" si="37"/>
        <v>0</v>
      </c>
      <c r="C96" s="293">
        <f t="shared" si="39"/>
        <v>0</v>
      </c>
      <c r="D96" s="293">
        <f t="shared" si="41"/>
        <v>0</v>
      </c>
      <c r="E96" s="293">
        <f t="shared" si="41"/>
        <v>0</v>
      </c>
      <c r="F96" s="293">
        <f t="shared" si="41"/>
        <v>0</v>
      </c>
      <c r="G96" s="293">
        <f t="shared" si="41"/>
        <v>0</v>
      </c>
      <c r="H96" s="293">
        <f t="shared" si="41"/>
        <v>0</v>
      </c>
    </row>
    <row r="97" spans="1:8">
      <c r="A97" s="10" t="str">
        <f t="shared" si="36"/>
        <v>Maize</v>
      </c>
      <c r="B97" s="293">
        <f>D18*$B$91*0</f>
        <v>0</v>
      </c>
      <c r="C97" s="293">
        <f t="shared" si="39"/>
        <v>0</v>
      </c>
      <c r="D97" s="293">
        <f t="shared" si="41"/>
        <v>0</v>
      </c>
      <c r="E97" s="293">
        <f t="shared" si="41"/>
        <v>0</v>
      </c>
      <c r="F97" s="293">
        <f t="shared" si="41"/>
        <v>0</v>
      </c>
      <c r="G97" s="293">
        <f t="shared" si="41"/>
        <v>0</v>
      </c>
      <c r="H97" s="293">
        <f t="shared" si="41"/>
        <v>0</v>
      </c>
    </row>
    <row r="98" spans="1:8">
      <c r="A98" s="10" t="str">
        <f t="shared" si="36"/>
        <v>Black Gram/Udid</v>
      </c>
      <c r="B98" s="10">
        <f t="shared" si="37"/>
        <v>0</v>
      </c>
      <c r="C98" s="293">
        <f t="shared" si="39"/>
        <v>0</v>
      </c>
      <c r="D98" s="293">
        <f t="shared" si="41"/>
        <v>0</v>
      </c>
      <c r="E98" s="293">
        <f t="shared" si="41"/>
        <v>0</v>
      </c>
      <c r="F98" s="293">
        <f t="shared" si="41"/>
        <v>0</v>
      </c>
      <c r="G98" s="293">
        <f t="shared" si="41"/>
        <v>0</v>
      </c>
      <c r="H98" s="293">
        <f t="shared" si="41"/>
        <v>0</v>
      </c>
    </row>
    <row r="99" spans="1:8">
      <c r="A99" s="10" t="str">
        <f t="shared" si="36"/>
        <v>Bajra</v>
      </c>
      <c r="B99" s="10">
        <f t="shared" si="37"/>
        <v>0</v>
      </c>
      <c r="C99" s="293">
        <f t="shared" si="39"/>
        <v>0</v>
      </c>
      <c r="D99" s="293">
        <f t="shared" si="41"/>
        <v>0</v>
      </c>
      <c r="E99" s="293">
        <f t="shared" si="41"/>
        <v>0</v>
      </c>
      <c r="F99" s="293">
        <f t="shared" si="41"/>
        <v>0</v>
      </c>
      <c r="G99" s="293">
        <f t="shared" si="41"/>
        <v>0</v>
      </c>
      <c r="H99" s="293">
        <f t="shared" si="41"/>
        <v>0</v>
      </c>
    </row>
    <row r="100" spans="1:8">
      <c r="A100" s="10" t="str">
        <f t="shared" si="36"/>
        <v>Jawar</v>
      </c>
      <c r="B100" s="10">
        <f t="shared" si="37"/>
        <v>0</v>
      </c>
      <c r="C100" s="293">
        <f t="shared" si="39"/>
        <v>0</v>
      </c>
      <c r="D100" s="293">
        <f t="shared" si="41"/>
        <v>0</v>
      </c>
      <c r="E100" s="293">
        <f t="shared" si="41"/>
        <v>0</v>
      </c>
      <c r="F100" s="293">
        <f t="shared" si="41"/>
        <v>0</v>
      </c>
      <c r="G100" s="293">
        <f t="shared" si="41"/>
        <v>0</v>
      </c>
      <c r="H100" s="293">
        <f t="shared" si="41"/>
        <v>0</v>
      </c>
    </row>
    <row r="101" spans="1:8">
      <c r="A101" s="10" t="str">
        <f t="shared" si="36"/>
        <v>Sunflower</v>
      </c>
      <c r="B101" s="10">
        <f t="shared" si="37"/>
        <v>0</v>
      </c>
      <c r="C101" s="293">
        <f t="shared" si="39"/>
        <v>0</v>
      </c>
      <c r="D101" s="293">
        <f t="shared" si="41"/>
        <v>0</v>
      </c>
      <c r="E101" s="293">
        <f t="shared" si="41"/>
        <v>0</v>
      </c>
      <c r="F101" s="293">
        <f t="shared" si="41"/>
        <v>0</v>
      </c>
      <c r="G101" s="293">
        <f t="shared" si="41"/>
        <v>0</v>
      </c>
      <c r="H101" s="293">
        <f t="shared" si="41"/>
        <v>0</v>
      </c>
    </row>
    <row r="102" spans="1:8">
      <c r="A102" s="10" t="str">
        <f t="shared" si="36"/>
        <v>Wheat</v>
      </c>
      <c r="B102" s="10">
        <f t="shared" ref="B102:B109" si="42">D25*$B$91</f>
        <v>0</v>
      </c>
      <c r="C102" s="293">
        <f t="shared" si="39"/>
        <v>0</v>
      </c>
      <c r="D102" s="293">
        <f t="shared" si="41"/>
        <v>0</v>
      </c>
      <c r="E102" s="293">
        <f t="shared" si="41"/>
        <v>0</v>
      </c>
      <c r="F102" s="293">
        <f t="shared" si="41"/>
        <v>0</v>
      </c>
      <c r="G102" s="293">
        <f t="shared" si="41"/>
        <v>0</v>
      </c>
      <c r="H102" s="293">
        <f t="shared" si="41"/>
        <v>0</v>
      </c>
    </row>
    <row r="103" spans="1:8">
      <c r="A103" s="10" t="str">
        <f t="shared" si="36"/>
        <v>Bengal Gram/Channa</v>
      </c>
      <c r="B103" s="10">
        <f>D26*$B$91*0</f>
        <v>0</v>
      </c>
      <c r="C103" s="293">
        <f t="shared" si="39"/>
        <v>0</v>
      </c>
      <c r="D103" s="293">
        <f t="shared" si="41"/>
        <v>0</v>
      </c>
      <c r="E103" s="293">
        <f t="shared" si="41"/>
        <v>0</v>
      </c>
      <c r="F103" s="293">
        <f t="shared" si="41"/>
        <v>0</v>
      </c>
      <c r="G103" s="293">
        <f t="shared" si="41"/>
        <v>0</v>
      </c>
      <c r="H103" s="293">
        <f t="shared" si="41"/>
        <v>0</v>
      </c>
    </row>
    <row r="104" spans="1:8">
      <c r="A104" s="10" t="str">
        <f t="shared" si="36"/>
        <v>Jawar</v>
      </c>
      <c r="B104" s="10">
        <f>D27*$B$91*0</f>
        <v>0</v>
      </c>
      <c r="C104" s="293">
        <f t="shared" si="39"/>
        <v>0</v>
      </c>
      <c r="D104" s="293">
        <f t="shared" si="41"/>
        <v>0</v>
      </c>
      <c r="E104" s="293">
        <f t="shared" si="41"/>
        <v>0</v>
      </c>
      <c r="F104" s="293">
        <f t="shared" si="41"/>
        <v>0</v>
      </c>
      <c r="G104" s="293">
        <f t="shared" si="41"/>
        <v>0</v>
      </c>
      <c r="H104" s="293">
        <f t="shared" si="41"/>
        <v>0</v>
      </c>
    </row>
    <row r="105" spans="1:8">
      <c r="A105" s="10" t="str">
        <f t="shared" si="36"/>
        <v>Maize</v>
      </c>
      <c r="B105" s="10">
        <f>D28*$B$91*0</f>
        <v>0</v>
      </c>
      <c r="C105" s="293">
        <f t="shared" si="39"/>
        <v>0</v>
      </c>
      <c r="D105" s="293">
        <f t="shared" ref="D105:H114" si="43">(C105/C$91)*D$91</f>
        <v>0</v>
      </c>
      <c r="E105" s="293">
        <f t="shared" si="43"/>
        <v>0</v>
      </c>
      <c r="F105" s="293">
        <f t="shared" si="43"/>
        <v>0</v>
      </c>
      <c r="G105" s="293">
        <f t="shared" si="43"/>
        <v>0</v>
      </c>
      <c r="H105" s="293">
        <f t="shared" si="43"/>
        <v>0</v>
      </c>
    </row>
    <row r="106" spans="1:8">
      <c r="A106" s="10" t="str">
        <f t="shared" si="36"/>
        <v>Safflower</v>
      </c>
      <c r="B106" s="10">
        <f t="shared" si="42"/>
        <v>0</v>
      </c>
      <c r="C106" s="293">
        <f t="shared" si="39"/>
        <v>0</v>
      </c>
      <c r="D106" s="293">
        <f t="shared" si="43"/>
        <v>0</v>
      </c>
      <c r="E106" s="293">
        <f t="shared" si="43"/>
        <v>0</v>
      </c>
      <c r="F106" s="293">
        <f t="shared" si="43"/>
        <v>0</v>
      </c>
      <c r="G106" s="293">
        <f t="shared" si="43"/>
        <v>0</v>
      </c>
      <c r="H106" s="293">
        <f t="shared" si="43"/>
        <v>0</v>
      </c>
    </row>
    <row r="107" spans="1:8">
      <c r="A107" s="10">
        <f t="shared" si="36"/>
        <v>0</v>
      </c>
      <c r="B107" s="10">
        <f t="shared" si="42"/>
        <v>0</v>
      </c>
      <c r="C107" s="293">
        <f t="shared" si="39"/>
        <v>0</v>
      </c>
      <c r="D107" s="293">
        <f t="shared" si="43"/>
        <v>0</v>
      </c>
      <c r="E107" s="293">
        <f t="shared" si="43"/>
        <v>0</v>
      </c>
      <c r="F107" s="293">
        <f t="shared" si="43"/>
        <v>0</v>
      </c>
      <c r="G107" s="293">
        <f t="shared" si="43"/>
        <v>0</v>
      </c>
      <c r="H107" s="293">
        <f t="shared" si="43"/>
        <v>0</v>
      </c>
    </row>
    <row r="108" spans="1:8">
      <c r="A108" s="10">
        <f t="shared" si="36"/>
        <v>0</v>
      </c>
      <c r="B108" s="10">
        <f t="shared" si="42"/>
        <v>0</v>
      </c>
      <c r="C108" s="293">
        <f t="shared" si="39"/>
        <v>0</v>
      </c>
      <c r="D108" s="293">
        <f t="shared" si="43"/>
        <v>0</v>
      </c>
      <c r="E108" s="293">
        <f t="shared" si="43"/>
        <v>0</v>
      </c>
      <c r="F108" s="293">
        <f t="shared" si="43"/>
        <v>0</v>
      </c>
      <c r="G108" s="293">
        <f t="shared" si="43"/>
        <v>0</v>
      </c>
      <c r="H108" s="293">
        <f t="shared" si="43"/>
        <v>0</v>
      </c>
    </row>
    <row r="109" spans="1:8">
      <c r="A109" s="10">
        <f t="shared" si="36"/>
        <v>0</v>
      </c>
      <c r="B109" s="10">
        <f t="shared" si="42"/>
        <v>0</v>
      </c>
      <c r="C109" s="293">
        <f t="shared" si="39"/>
        <v>0</v>
      </c>
      <c r="D109" s="293">
        <f t="shared" si="43"/>
        <v>0</v>
      </c>
      <c r="E109" s="293">
        <f t="shared" si="43"/>
        <v>0</v>
      </c>
      <c r="F109" s="293">
        <f t="shared" si="43"/>
        <v>0</v>
      </c>
      <c r="G109" s="293">
        <f t="shared" si="43"/>
        <v>0</v>
      </c>
      <c r="H109" s="293">
        <f t="shared" si="43"/>
        <v>0</v>
      </c>
    </row>
    <row r="110" spans="1:8">
      <c r="A110" s="10" t="str">
        <f t="shared" si="36"/>
        <v>Maize</v>
      </c>
      <c r="B110" s="10">
        <f>D34*$B$91*0</f>
        <v>0</v>
      </c>
      <c r="C110" s="293">
        <f t="shared" si="39"/>
        <v>0</v>
      </c>
      <c r="D110" s="293">
        <f t="shared" si="43"/>
        <v>0</v>
      </c>
      <c r="E110" s="293">
        <f t="shared" si="43"/>
        <v>0</v>
      </c>
      <c r="F110" s="293">
        <f t="shared" si="43"/>
        <v>0</v>
      </c>
      <c r="G110" s="293">
        <f t="shared" si="43"/>
        <v>0</v>
      </c>
      <c r="H110" s="293">
        <f t="shared" si="43"/>
        <v>0</v>
      </c>
    </row>
    <row r="111" spans="1:8">
      <c r="A111" s="10">
        <f t="shared" si="36"/>
        <v>0</v>
      </c>
      <c r="B111" s="10">
        <f>D35*$B$91</f>
        <v>0</v>
      </c>
      <c r="C111" s="293">
        <f t="shared" si="39"/>
        <v>0</v>
      </c>
      <c r="D111" s="293">
        <f t="shared" si="43"/>
        <v>0</v>
      </c>
      <c r="E111" s="293">
        <f t="shared" si="43"/>
        <v>0</v>
      </c>
      <c r="F111" s="293">
        <f t="shared" si="43"/>
        <v>0</v>
      </c>
      <c r="G111" s="293">
        <f t="shared" si="43"/>
        <v>0</v>
      </c>
      <c r="H111" s="293">
        <f t="shared" si="43"/>
        <v>0</v>
      </c>
    </row>
    <row r="112" spans="1:8">
      <c r="A112" s="10">
        <f t="shared" si="36"/>
        <v>0</v>
      </c>
      <c r="B112" s="10">
        <f>D35*$B$91</f>
        <v>0</v>
      </c>
      <c r="C112" s="293">
        <f t="shared" si="39"/>
        <v>0</v>
      </c>
      <c r="D112" s="293">
        <f t="shared" si="43"/>
        <v>0</v>
      </c>
      <c r="E112" s="293">
        <f t="shared" si="43"/>
        <v>0</v>
      </c>
      <c r="F112" s="293">
        <f t="shared" si="43"/>
        <v>0</v>
      </c>
      <c r="G112" s="293">
        <f t="shared" si="43"/>
        <v>0</v>
      </c>
      <c r="H112" s="293">
        <f t="shared" si="43"/>
        <v>0</v>
      </c>
    </row>
    <row r="113" spans="1:9">
      <c r="A113" s="10">
        <f t="shared" si="36"/>
        <v>0</v>
      </c>
      <c r="B113" s="10">
        <f>D37*$B$91</f>
        <v>0</v>
      </c>
      <c r="C113" s="293">
        <f t="shared" si="39"/>
        <v>0</v>
      </c>
      <c r="D113" s="293">
        <f t="shared" si="43"/>
        <v>0</v>
      </c>
      <c r="E113" s="293">
        <f t="shared" si="43"/>
        <v>0</v>
      </c>
      <c r="F113" s="293">
        <f t="shared" si="43"/>
        <v>0</v>
      </c>
      <c r="G113" s="293">
        <f t="shared" si="43"/>
        <v>0</v>
      </c>
      <c r="H113" s="293">
        <f t="shared" si="43"/>
        <v>0</v>
      </c>
    </row>
    <row r="114" spans="1:9">
      <c r="A114" s="10"/>
      <c r="B114" s="10">
        <f>D38*$B$91</f>
        <v>0</v>
      </c>
      <c r="C114" s="293">
        <f t="shared" si="39"/>
        <v>0</v>
      </c>
      <c r="D114" s="293">
        <f t="shared" si="43"/>
        <v>0</v>
      </c>
      <c r="E114" s="293">
        <f t="shared" si="43"/>
        <v>0</v>
      </c>
      <c r="F114" s="293">
        <f t="shared" si="43"/>
        <v>0</v>
      </c>
      <c r="G114" s="293">
        <f t="shared" si="43"/>
        <v>0</v>
      </c>
      <c r="H114" s="293">
        <f t="shared" si="43"/>
        <v>0</v>
      </c>
    </row>
    <row r="116" spans="1:9">
      <c r="C116" s="4"/>
      <c r="D116" s="6"/>
      <c r="E116" s="6"/>
      <c r="F116" s="6"/>
      <c r="G116" s="6"/>
      <c r="H116" s="6"/>
      <c r="I116" s="6"/>
    </row>
    <row r="117" spans="1:9">
      <c r="A117" t="s">
        <v>491</v>
      </c>
      <c r="C117" s="294"/>
      <c r="D117" s="294"/>
      <c r="E117" s="294"/>
      <c r="F117" s="294"/>
      <c r="G117" s="294"/>
      <c r="H117" s="294"/>
      <c r="I117" s="294"/>
    </row>
    <row r="118" spans="1:9">
      <c r="A118">
        <v>1</v>
      </c>
      <c r="B118" t="s">
        <v>535</v>
      </c>
    </row>
    <row r="119" spans="1:9">
      <c r="A119">
        <v>2</v>
      </c>
      <c r="B119" t="s">
        <v>536</v>
      </c>
    </row>
    <row r="120" spans="1:9">
      <c r="A120">
        <v>3</v>
      </c>
      <c r="B120" t="s">
        <v>494</v>
      </c>
    </row>
  </sheetData>
  <mergeCells count="12">
    <mergeCell ref="A1:H1"/>
    <mergeCell ref="A3:B3"/>
    <mergeCell ref="A91:A92"/>
    <mergeCell ref="A11:H11"/>
    <mergeCell ref="A38:H38"/>
    <mergeCell ref="A14:A22"/>
    <mergeCell ref="A40:H40"/>
    <mergeCell ref="A41:A42"/>
    <mergeCell ref="A65:H65"/>
    <mergeCell ref="A66:A67"/>
    <mergeCell ref="A90:H90"/>
    <mergeCell ref="A25:A32"/>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2" zoomScaleSheetLayoutView="82" workbookViewId="0">
      <selection activeCell="C51" sqref="C5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9" t="s">
        <v>464</v>
      </c>
      <c r="B1" s="419"/>
      <c r="C1" s="419"/>
      <c r="D1" s="419"/>
      <c r="E1" s="419"/>
      <c r="F1" s="419"/>
      <c r="G1" s="419"/>
      <c r="H1" s="419"/>
    </row>
    <row r="2" spans="1:26">
      <c r="B2" s="4"/>
    </row>
    <row r="3" spans="1:26" ht="18.75">
      <c r="A3" s="465" t="s">
        <v>523</v>
      </c>
      <c r="B3" s="465"/>
    </row>
    <row r="4" spans="1:26">
      <c r="A4" s="282" t="s">
        <v>0</v>
      </c>
      <c r="B4" s="296" t="s">
        <v>370</v>
      </c>
      <c r="C4" s="297"/>
      <c r="D4" s="297"/>
      <c r="E4" s="297"/>
      <c r="F4" s="297"/>
      <c r="G4" s="297"/>
      <c r="H4" s="297"/>
    </row>
    <row r="5" spans="1:26">
      <c r="A5" s="10" t="s">
        <v>457</v>
      </c>
      <c r="B5" s="278"/>
      <c r="C5" s="298"/>
      <c r="D5" s="299"/>
      <c r="E5" s="299"/>
      <c r="F5" s="299"/>
      <c r="G5" s="299"/>
      <c r="H5" s="299"/>
    </row>
    <row r="6" spans="1:26">
      <c r="A6" s="10" t="s">
        <v>458</v>
      </c>
      <c r="B6" s="278"/>
      <c r="C6" s="298"/>
      <c r="D6" s="299"/>
      <c r="E6" s="299"/>
      <c r="F6" s="299"/>
      <c r="G6" s="299"/>
      <c r="H6" s="299"/>
    </row>
    <row r="7" spans="1:26">
      <c r="A7" s="2" t="s">
        <v>1</v>
      </c>
      <c r="B7" s="320">
        <f>B5+B6</f>
        <v>0</v>
      </c>
      <c r="C7" s="300"/>
      <c r="D7" s="301"/>
      <c r="E7" s="301"/>
      <c r="F7" s="301"/>
      <c r="G7" s="301"/>
      <c r="H7" s="301"/>
    </row>
    <row r="8" spans="1:26">
      <c r="A8" s="2" t="s">
        <v>459</v>
      </c>
      <c r="B8" s="319">
        <v>1</v>
      </c>
      <c r="C8" s="300"/>
      <c r="D8" s="300"/>
      <c r="E8" s="300"/>
      <c r="F8" s="300"/>
      <c r="G8" s="300"/>
      <c r="H8" s="300"/>
    </row>
    <row r="9" spans="1:26">
      <c r="A9" s="2" t="s">
        <v>460</v>
      </c>
      <c r="B9" s="320">
        <f>B7*B8</f>
        <v>0</v>
      </c>
      <c r="C9" s="301"/>
      <c r="D9" s="301"/>
      <c r="E9" s="301"/>
      <c r="F9" s="301"/>
      <c r="G9" s="301"/>
      <c r="H9" s="301"/>
    </row>
    <row r="10" spans="1:26">
      <c r="J10" t="s">
        <v>417</v>
      </c>
      <c r="O10" t="s">
        <v>413</v>
      </c>
      <c r="U10" t="s">
        <v>414</v>
      </c>
      <c r="Y10" t="s">
        <v>415</v>
      </c>
      <c r="Z10" t="s">
        <v>416</v>
      </c>
    </row>
    <row r="11" spans="1:26" ht="18.75">
      <c r="A11" s="419" t="s">
        <v>524</v>
      </c>
      <c r="B11" s="419"/>
      <c r="C11" s="419"/>
      <c r="D11" s="419"/>
      <c r="E11" s="419"/>
      <c r="F11" s="419"/>
      <c r="G11" s="419"/>
      <c r="H11" s="419"/>
      <c r="I11" s="277"/>
      <c r="J11" s="277"/>
      <c r="K11" s="277"/>
      <c r="L11" s="277"/>
      <c r="M11" s="277"/>
      <c r="N11" s="277"/>
      <c r="O11" s="277"/>
      <c r="P11" s="277"/>
    </row>
    <row r="12" spans="1:26">
      <c r="J12" s="3">
        <v>0.65</v>
      </c>
      <c r="K12" s="292">
        <f>J12+0.05</f>
        <v>0.70000000000000007</v>
      </c>
      <c r="L12" s="292">
        <f t="shared" ref="L12:N12" si="0">K12+0.05</f>
        <v>0.75000000000000011</v>
      </c>
      <c r="M12" s="292">
        <f t="shared" si="0"/>
        <v>0.80000000000000016</v>
      </c>
      <c r="N12" s="29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82" t="s">
        <v>374</v>
      </c>
      <c r="B13" s="282" t="s">
        <v>375</v>
      </c>
      <c r="C13" s="283" t="s">
        <v>410</v>
      </c>
      <c r="D13" s="283" t="s">
        <v>418</v>
      </c>
      <c r="E13" s="283" t="s">
        <v>419</v>
      </c>
      <c r="F13" s="283" t="s">
        <v>376</v>
      </c>
      <c r="G13" s="283" t="s">
        <v>582</v>
      </c>
      <c r="H13" s="283" t="s">
        <v>377</v>
      </c>
      <c r="O13" s="291" t="s">
        <v>2</v>
      </c>
      <c r="P13" s="291" t="s">
        <v>3</v>
      </c>
      <c r="Q13" s="291" t="s">
        <v>4</v>
      </c>
      <c r="R13" s="291" t="s">
        <v>5</v>
      </c>
      <c r="S13" s="291" t="s">
        <v>6</v>
      </c>
      <c r="T13" s="291" t="s">
        <v>2</v>
      </c>
      <c r="U13" s="291" t="s">
        <v>3</v>
      </c>
      <c r="V13" s="291" t="s">
        <v>4</v>
      </c>
      <c r="W13" s="291" t="s">
        <v>5</v>
      </c>
      <c r="X13" s="291" t="s">
        <v>6</v>
      </c>
    </row>
    <row r="14" spans="1:26">
      <c r="A14" s="469" t="s">
        <v>378</v>
      </c>
      <c r="B14" s="278" t="s">
        <v>447</v>
      </c>
      <c r="C14" s="289">
        <v>0</v>
      </c>
      <c r="D14" s="10">
        <f t="shared" ref="D14:D40" si="3">$B$9*C14</f>
        <v>0</v>
      </c>
      <c r="E14" s="279">
        <v>15</v>
      </c>
      <c r="F14" s="10">
        <f>D14*E14</f>
        <v>0</v>
      </c>
      <c r="G14" s="290">
        <v>0.1</v>
      </c>
      <c r="H14" s="10">
        <f>(F14-F14*G14)</f>
        <v>0</v>
      </c>
      <c r="J14">
        <f>$D$14*J12</f>
        <v>0</v>
      </c>
      <c r="K14">
        <f>$D$14*K12</f>
        <v>0</v>
      </c>
      <c r="L14">
        <f>$D$14*L12</f>
        <v>0</v>
      </c>
      <c r="M14">
        <f>$D$14*M12</f>
        <v>0</v>
      </c>
      <c r="N14">
        <f>$D$14*N12</f>
        <v>0</v>
      </c>
    </row>
    <row r="15" spans="1:26">
      <c r="A15" s="470"/>
      <c r="B15" s="278" t="s">
        <v>448</v>
      </c>
      <c r="C15" s="289">
        <v>0</v>
      </c>
      <c r="D15" s="10">
        <f t="shared" si="3"/>
        <v>0</v>
      </c>
      <c r="E15" s="279">
        <v>7</v>
      </c>
      <c r="F15" s="10">
        <f t="shared" ref="F15:F40" si="4">D15*E15</f>
        <v>0</v>
      </c>
      <c r="G15" s="290">
        <v>0.05</v>
      </c>
      <c r="H15" s="10">
        <f>(F15-F15*G15)</f>
        <v>0</v>
      </c>
    </row>
    <row r="16" spans="1:26">
      <c r="A16" s="470"/>
      <c r="B16" s="278" t="s">
        <v>449</v>
      </c>
      <c r="C16" s="289">
        <v>0</v>
      </c>
      <c r="D16" s="10">
        <f t="shared" si="3"/>
        <v>0</v>
      </c>
      <c r="E16" s="279">
        <v>4</v>
      </c>
      <c r="F16" s="10">
        <f t="shared" si="4"/>
        <v>0</v>
      </c>
      <c r="G16" s="290">
        <v>0</v>
      </c>
      <c r="H16" s="10">
        <f t="shared" ref="H16:H40" si="5">(F16-F16*G16)</f>
        <v>0</v>
      </c>
    </row>
    <row r="17" spans="1:8">
      <c r="A17" s="470"/>
      <c r="B17" s="278" t="s">
        <v>450</v>
      </c>
      <c r="C17" s="289">
        <v>0</v>
      </c>
      <c r="D17" s="10">
        <f t="shared" si="3"/>
        <v>0</v>
      </c>
      <c r="E17" s="279">
        <v>7</v>
      </c>
      <c r="F17" s="10">
        <f t="shared" si="4"/>
        <v>0</v>
      </c>
      <c r="G17" s="290">
        <v>0.02</v>
      </c>
      <c r="H17" s="10">
        <f t="shared" si="5"/>
        <v>0</v>
      </c>
    </row>
    <row r="18" spans="1:8">
      <c r="A18" s="470"/>
      <c r="B18" s="278" t="s">
        <v>452</v>
      </c>
      <c r="C18" s="289">
        <v>0</v>
      </c>
      <c r="D18" s="10">
        <f t="shared" si="3"/>
        <v>0</v>
      </c>
      <c r="E18" s="279">
        <v>20</v>
      </c>
      <c r="F18" s="10">
        <f t="shared" si="4"/>
        <v>0</v>
      </c>
      <c r="G18" s="290">
        <v>0</v>
      </c>
      <c r="H18" s="10">
        <f t="shared" si="5"/>
        <v>0</v>
      </c>
    </row>
    <row r="19" spans="1:8">
      <c r="A19" s="470"/>
      <c r="B19" s="278"/>
      <c r="C19" s="289">
        <v>0</v>
      </c>
      <c r="D19" s="10">
        <f t="shared" si="3"/>
        <v>0</v>
      </c>
      <c r="E19" s="279">
        <v>7</v>
      </c>
      <c r="F19" s="10">
        <f t="shared" si="4"/>
        <v>0</v>
      </c>
      <c r="G19" s="290">
        <v>0.1</v>
      </c>
      <c r="H19" s="10">
        <f t="shared" si="5"/>
        <v>0</v>
      </c>
    </row>
    <row r="20" spans="1:8">
      <c r="A20" s="470"/>
      <c r="B20" s="278"/>
      <c r="C20" s="289">
        <v>0</v>
      </c>
      <c r="D20" s="10">
        <f t="shared" si="3"/>
        <v>0</v>
      </c>
      <c r="E20" s="279">
        <v>6</v>
      </c>
      <c r="F20" s="10">
        <f t="shared" si="4"/>
        <v>0</v>
      </c>
      <c r="G20" s="290">
        <v>0.02</v>
      </c>
      <c r="H20" s="10">
        <f t="shared" si="5"/>
        <v>0</v>
      </c>
    </row>
    <row r="21" spans="1:8">
      <c r="A21" s="470"/>
      <c r="B21" s="278"/>
      <c r="C21" s="289">
        <v>0</v>
      </c>
      <c r="D21" s="10">
        <f t="shared" si="3"/>
        <v>0</v>
      </c>
      <c r="E21" s="279"/>
      <c r="F21" s="10">
        <f t="shared" si="4"/>
        <v>0</v>
      </c>
      <c r="G21" s="290">
        <v>0</v>
      </c>
      <c r="H21" s="10">
        <f t="shared" si="5"/>
        <v>0</v>
      </c>
    </row>
    <row r="22" spans="1:8">
      <c r="A22" s="471"/>
      <c r="B22" s="278"/>
      <c r="C22" s="289">
        <v>0</v>
      </c>
      <c r="D22" s="10">
        <f t="shared" si="3"/>
        <v>0</v>
      </c>
      <c r="E22" s="279"/>
      <c r="F22" s="10">
        <f t="shared" si="4"/>
        <v>0</v>
      </c>
      <c r="G22" s="290">
        <v>0</v>
      </c>
      <c r="H22" s="10">
        <f t="shared" si="5"/>
        <v>0</v>
      </c>
    </row>
    <row r="23" spans="1:8">
      <c r="A23" s="318" t="s">
        <v>465</v>
      </c>
      <c r="B23" s="312"/>
      <c r="C23" s="313">
        <f>B9*B23</f>
        <v>0</v>
      </c>
      <c r="D23" s="10"/>
      <c r="E23" s="279"/>
      <c r="F23" s="10"/>
      <c r="G23" s="290"/>
      <c r="H23" s="10"/>
    </row>
    <row r="24" spans="1:8">
      <c r="A24" s="469" t="s">
        <v>380</v>
      </c>
      <c r="B24" s="278" t="s">
        <v>447</v>
      </c>
      <c r="C24" s="289">
        <v>0</v>
      </c>
      <c r="D24" s="10">
        <f>C$23*C24</f>
        <v>0</v>
      </c>
      <c r="E24" s="279">
        <v>10</v>
      </c>
      <c r="F24" s="10">
        <f t="shared" si="4"/>
        <v>0</v>
      </c>
      <c r="G24" s="290">
        <v>0.1</v>
      </c>
      <c r="H24" s="10">
        <f t="shared" si="5"/>
        <v>0</v>
      </c>
    </row>
    <row r="25" spans="1:8">
      <c r="A25" s="470"/>
      <c r="B25" s="278" t="s">
        <v>448</v>
      </c>
      <c r="C25" s="289">
        <v>0</v>
      </c>
      <c r="D25" s="10">
        <f>C$23*C25</f>
        <v>0</v>
      </c>
      <c r="E25" s="279">
        <v>10</v>
      </c>
      <c r="F25" s="10">
        <f t="shared" si="4"/>
        <v>0</v>
      </c>
      <c r="G25" s="290">
        <v>0.1</v>
      </c>
      <c r="H25" s="10">
        <f t="shared" si="5"/>
        <v>0</v>
      </c>
    </row>
    <row r="26" spans="1:8">
      <c r="A26" s="470"/>
      <c r="B26" s="278" t="s">
        <v>449</v>
      </c>
      <c r="C26" s="289">
        <v>0</v>
      </c>
      <c r="D26" s="10">
        <f>C$23*C26</f>
        <v>0</v>
      </c>
      <c r="E26" s="279">
        <v>10</v>
      </c>
      <c r="F26" s="10">
        <f t="shared" si="4"/>
        <v>0</v>
      </c>
      <c r="G26" s="290">
        <v>0.05</v>
      </c>
      <c r="H26" s="10">
        <f t="shared" si="5"/>
        <v>0</v>
      </c>
    </row>
    <row r="27" spans="1:8">
      <c r="A27" s="470"/>
      <c r="B27" s="278" t="s">
        <v>450</v>
      </c>
      <c r="C27" s="289">
        <v>0</v>
      </c>
      <c r="D27" s="10">
        <f t="shared" ref="D27:D31" si="6">C$23*C27</f>
        <v>0</v>
      </c>
      <c r="E27" s="279">
        <v>20</v>
      </c>
      <c r="F27" s="10">
        <f t="shared" si="4"/>
        <v>0</v>
      </c>
      <c r="G27" s="290">
        <v>0</v>
      </c>
      <c r="H27" s="10">
        <f t="shared" si="5"/>
        <v>0</v>
      </c>
    </row>
    <row r="28" spans="1:8">
      <c r="A28" s="470"/>
      <c r="B28" s="278" t="s">
        <v>451</v>
      </c>
      <c r="C28" s="289">
        <v>0</v>
      </c>
      <c r="D28" s="10">
        <f t="shared" si="6"/>
        <v>0</v>
      </c>
      <c r="E28" s="279"/>
      <c r="F28" s="10">
        <f t="shared" si="4"/>
        <v>0</v>
      </c>
      <c r="G28" s="290">
        <v>0</v>
      </c>
      <c r="H28" s="10">
        <f t="shared" si="5"/>
        <v>0</v>
      </c>
    </row>
    <row r="29" spans="1:8">
      <c r="A29" s="470"/>
      <c r="B29" s="278"/>
      <c r="C29" s="289">
        <v>0</v>
      </c>
      <c r="D29" s="10">
        <f t="shared" si="6"/>
        <v>0</v>
      </c>
      <c r="E29" s="279"/>
      <c r="F29" s="10">
        <f t="shared" si="4"/>
        <v>0</v>
      </c>
      <c r="G29" s="290">
        <v>0</v>
      </c>
      <c r="H29" s="10">
        <f t="shared" si="5"/>
        <v>0</v>
      </c>
    </row>
    <row r="30" spans="1:8">
      <c r="A30" s="470"/>
      <c r="B30" s="278"/>
      <c r="C30" s="289">
        <v>0</v>
      </c>
      <c r="D30" s="10">
        <f t="shared" si="6"/>
        <v>0</v>
      </c>
      <c r="E30" s="279"/>
      <c r="F30" s="10">
        <f t="shared" si="4"/>
        <v>0</v>
      </c>
      <c r="G30" s="290">
        <v>0</v>
      </c>
      <c r="H30" s="10">
        <f t="shared" si="5"/>
        <v>0</v>
      </c>
    </row>
    <row r="31" spans="1:8">
      <c r="A31" s="471"/>
      <c r="B31" s="278"/>
      <c r="C31" s="289">
        <v>0</v>
      </c>
      <c r="D31" s="10">
        <f t="shared" si="6"/>
        <v>0</v>
      </c>
      <c r="E31" s="279"/>
      <c r="F31" s="10">
        <f t="shared" si="4"/>
        <v>0</v>
      </c>
      <c r="G31" s="290">
        <v>0</v>
      </c>
      <c r="H31" s="10">
        <f t="shared" si="5"/>
        <v>0</v>
      </c>
    </row>
    <row r="32" spans="1:8">
      <c r="A32" s="318" t="s">
        <v>466</v>
      </c>
      <c r="B32" s="312"/>
      <c r="C32" s="278">
        <f>B9*B32</f>
        <v>0</v>
      </c>
      <c r="D32" s="10"/>
      <c r="E32" s="279"/>
      <c r="F32" s="10"/>
      <c r="G32" s="290"/>
      <c r="H32" s="10"/>
    </row>
    <row r="33" spans="1:8">
      <c r="A33" s="315" t="s">
        <v>424</v>
      </c>
      <c r="B33" s="278"/>
      <c r="C33" s="289">
        <v>0</v>
      </c>
      <c r="D33" s="10">
        <f>C$32*C33</f>
        <v>0</v>
      </c>
      <c r="E33" s="279"/>
      <c r="F33" s="10">
        <f t="shared" si="4"/>
        <v>0</v>
      </c>
      <c r="G33" s="290">
        <v>0</v>
      </c>
      <c r="H33" s="10">
        <f t="shared" si="5"/>
        <v>0</v>
      </c>
    </row>
    <row r="34" spans="1:8">
      <c r="A34" s="316"/>
      <c r="B34" s="278"/>
      <c r="C34" s="289">
        <v>0</v>
      </c>
      <c r="D34" s="10">
        <f>C$32*C34</f>
        <v>0</v>
      </c>
      <c r="E34" s="279"/>
      <c r="F34" s="10">
        <f t="shared" si="4"/>
        <v>0</v>
      </c>
      <c r="G34" s="290">
        <v>0</v>
      </c>
      <c r="H34" s="10">
        <f t="shared" si="5"/>
        <v>0</v>
      </c>
    </row>
    <row r="35" spans="1:8">
      <c r="A35" s="316"/>
      <c r="B35" s="278"/>
      <c r="C35" s="289">
        <v>0</v>
      </c>
      <c r="D35" s="10">
        <f>C$32*C35</f>
        <v>0</v>
      </c>
      <c r="E35" s="279"/>
      <c r="F35" s="10">
        <f t="shared" si="4"/>
        <v>0</v>
      </c>
      <c r="G35" s="290">
        <v>0</v>
      </c>
      <c r="H35" s="10">
        <f t="shared" si="5"/>
        <v>0</v>
      </c>
    </row>
    <row r="36" spans="1:8">
      <c r="A36" s="317"/>
      <c r="B36" s="278"/>
      <c r="C36" s="289">
        <v>0</v>
      </c>
      <c r="D36" s="10">
        <f>C$32*C36</f>
        <v>0</v>
      </c>
      <c r="E36" s="279"/>
      <c r="F36" s="10">
        <f t="shared" si="4"/>
        <v>0</v>
      </c>
      <c r="G36" s="290">
        <v>0</v>
      </c>
      <c r="H36" s="10">
        <f t="shared" si="5"/>
        <v>0</v>
      </c>
    </row>
    <row r="37" spans="1:8">
      <c r="A37" s="485" t="s">
        <v>467</v>
      </c>
      <c r="B37" s="278" t="s">
        <v>453</v>
      </c>
      <c r="C37" s="289">
        <v>0</v>
      </c>
      <c r="D37" s="10">
        <f t="shared" si="3"/>
        <v>0</v>
      </c>
      <c r="E37" s="279">
        <v>6</v>
      </c>
      <c r="F37" s="10">
        <f t="shared" si="4"/>
        <v>0</v>
      </c>
      <c r="G37" s="290">
        <v>0.05</v>
      </c>
      <c r="H37" s="10">
        <f t="shared" si="5"/>
        <v>0</v>
      </c>
    </row>
    <row r="38" spans="1:8">
      <c r="A38" s="485"/>
      <c r="B38" s="278" t="s">
        <v>454</v>
      </c>
      <c r="C38" s="289">
        <v>0</v>
      </c>
      <c r="D38" s="10">
        <f t="shared" si="3"/>
        <v>0</v>
      </c>
      <c r="E38" s="279"/>
      <c r="F38" s="10">
        <f t="shared" si="4"/>
        <v>0</v>
      </c>
      <c r="G38" s="290">
        <v>0</v>
      </c>
      <c r="H38" s="10">
        <f t="shared" si="5"/>
        <v>0</v>
      </c>
    </row>
    <row r="39" spans="1:8">
      <c r="A39" s="485"/>
      <c r="B39" s="278" t="s">
        <v>455</v>
      </c>
      <c r="C39" s="289">
        <v>0</v>
      </c>
      <c r="D39" s="10">
        <f t="shared" si="3"/>
        <v>0</v>
      </c>
      <c r="E39" s="279"/>
      <c r="F39" s="10">
        <f t="shared" si="4"/>
        <v>0</v>
      </c>
      <c r="G39" s="290">
        <v>0</v>
      </c>
      <c r="H39" s="10">
        <f t="shared" si="5"/>
        <v>0</v>
      </c>
    </row>
    <row r="40" spans="1:8">
      <c r="A40" s="485"/>
      <c r="B40" s="278" t="s">
        <v>456</v>
      </c>
      <c r="C40" s="289">
        <v>0</v>
      </c>
      <c r="D40" s="10">
        <f t="shared" si="3"/>
        <v>0</v>
      </c>
      <c r="E40" s="279"/>
      <c r="F40" s="10">
        <f t="shared" si="4"/>
        <v>0</v>
      </c>
      <c r="G40" s="290">
        <v>0</v>
      </c>
      <c r="H40" s="10">
        <f t="shared" si="5"/>
        <v>0</v>
      </c>
    </row>
    <row r="41" spans="1:8">
      <c r="A41" s="468" t="s">
        <v>384</v>
      </c>
      <c r="B41" s="468"/>
      <c r="C41" s="468"/>
      <c r="D41" s="468"/>
      <c r="E41" s="468"/>
      <c r="F41" s="468"/>
      <c r="G41" s="468"/>
      <c r="H41" s="468"/>
    </row>
    <row r="43" spans="1:8" ht="18.75">
      <c r="A43" s="472" t="s">
        <v>525</v>
      </c>
      <c r="B43" s="473"/>
      <c r="C43" s="473"/>
      <c r="D43" s="473"/>
      <c r="E43" s="473"/>
      <c r="F43" s="473"/>
      <c r="G43" s="473"/>
      <c r="H43" s="474"/>
    </row>
    <row r="44" spans="1:8">
      <c r="A44" s="475" t="s">
        <v>0</v>
      </c>
      <c r="B44" s="305">
        <v>0.35</v>
      </c>
      <c r="C44" s="305">
        <f>B44+0.05</f>
        <v>0.39999999999999997</v>
      </c>
      <c r="D44" s="305">
        <f t="shared" ref="D44:G44" si="7">C44+0.05</f>
        <v>0.44999999999999996</v>
      </c>
      <c r="E44" s="305">
        <f t="shared" si="7"/>
        <v>0.49999999999999994</v>
      </c>
      <c r="F44" s="305">
        <f t="shared" si="7"/>
        <v>0.54999999999999993</v>
      </c>
      <c r="G44" s="305">
        <f t="shared" si="7"/>
        <v>0.6</v>
      </c>
      <c r="H44" s="305">
        <f>G44+0.05</f>
        <v>0.65</v>
      </c>
    </row>
    <row r="45" spans="1:8">
      <c r="A45" s="476"/>
      <c r="B45" s="296" t="s">
        <v>2</v>
      </c>
      <c r="C45" s="296" t="s">
        <v>3</v>
      </c>
      <c r="D45" s="296" t="s">
        <v>4</v>
      </c>
      <c r="E45" s="296" t="s">
        <v>5</v>
      </c>
      <c r="F45" s="296" t="s">
        <v>6</v>
      </c>
      <c r="G45" s="296" t="s">
        <v>168</v>
      </c>
      <c r="H45" s="296" t="s">
        <v>167</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7" t="s">
        <v>526</v>
      </c>
      <c r="B71" s="478"/>
      <c r="C71" s="478"/>
      <c r="D71" s="478"/>
      <c r="E71" s="478"/>
      <c r="F71" s="478"/>
      <c r="G71" s="478"/>
      <c r="H71" s="479"/>
    </row>
    <row r="72" spans="1:8">
      <c r="A72" s="480" t="s">
        <v>0</v>
      </c>
      <c r="B72" s="306">
        <v>0.1</v>
      </c>
      <c r="C72" s="306">
        <f>B72+0.05</f>
        <v>0.15000000000000002</v>
      </c>
      <c r="D72" s="306">
        <f t="shared" ref="D72:G72" si="26">C72+0.05</f>
        <v>0.2</v>
      </c>
      <c r="E72" s="306">
        <f t="shared" si="26"/>
        <v>0.25</v>
      </c>
      <c r="F72" s="306">
        <f t="shared" si="26"/>
        <v>0.3</v>
      </c>
      <c r="G72" s="306">
        <f t="shared" si="26"/>
        <v>0.35</v>
      </c>
      <c r="H72" s="306">
        <f>G72+0.05</f>
        <v>0.39999999999999997</v>
      </c>
    </row>
    <row r="73" spans="1:8">
      <c r="A73" s="481"/>
      <c r="B73" s="296" t="s">
        <v>2</v>
      </c>
      <c r="C73" s="296" t="s">
        <v>3</v>
      </c>
      <c r="D73" s="296" t="s">
        <v>4</v>
      </c>
      <c r="E73" s="296" t="s">
        <v>5</v>
      </c>
      <c r="F73" s="296" t="s">
        <v>6</v>
      </c>
      <c r="G73" s="296" t="s">
        <v>168</v>
      </c>
      <c r="H73" s="296" t="s">
        <v>167</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85"/>
    </row>
    <row r="99" spans="1:9" ht="18.75">
      <c r="A99" s="477" t="s">
        <v>527</v>
      </c>
      <c r="B99" s="478"/>
      <c r="C99" s="478"/>
      <c r="D99" s="478"/>
      <c r="E99" s="478"/>
      <c r="F99" s="478"/>
      <c r="G99" s="478"/>
      <c r="H99" s="479"/>
    </row>
    <row r="100" spans="1:9">
      <c r="A100" s="466" t="s">
        <v>0</v>
      </c>
      <c r="B100" s="328">
        <v>0.65</v>
      </c>
      <c r="C100" s="329">
        <f>B100+0.05</f>
        <v>0.70000000000000007</v>
      </c>
      <c r="D100" s="329">
        <f t="shared" ref="D100:G100" si="45">C100+0.05</f>
        <v>0.75000000000000011</v>
      </c>
      <c r="E100" s="329">
        <f t="shared" si="45"/>
        <v>0.80000000000000016</v>
      </c>
      <c r="F100" s="329">
        <f t="shared" si="45"/>
        <v>0.8500000000000002</v>
      </c>
      <c r="G100" s="329">
        <f t="shared" si="45"/>
        <v>0.90000000000000024</v>
      </c>
      <c r="H100" s="329">
        <f>G100+0.05</f>
        <v>0.95000000000000029</v>
      </c>
    </row>
    <row r="101" spans="1:9">
      <c r="A101" s="467"/>
      <c r="B101" s="296" t="s">
        <v>2</v>
      </c>
      <c r="C101" s="296" t="s">
        <v>3</v>
      </c>
      <c r="D101" s="296" t="s">
        <v>4</v>
      </c>
      <c r="E101" s="296" t="s">
        <v>5</v>
      </c>
      <c r="F101" s="296" t="s">
        <v>6</v>
      </c>
      <c r="G101" s="296" t="s">
        <v>168</v>
      </c>
      <c r="H101" s="296" t="s">
        <v>167</v>
      </c>
    </row>
    <row r="102" spans="1:9" s="13" customFormat="1">
      <c r="A102" s="10" t="str">
        <f t="shared" ref="A102:A126" si="46">A74</f>
        <v>Onion</v>
      </c>
      <c r="B102" s="10">
        <f t="shared" ref="B102:B110" si="47">D14*$B$100</f>
        <v>0</v>
      </c>
      <c r="C102" s="293">
        <f t="shared" ref="C102:H117" si="48">(B102/B$100)*C$100</f>
        <v>0</v>
      </c>
      <c r="D102" s="293">
        <f t="shared" si="48"/>
        <v>0</v>
      </c>
      <c r="E102" s="293">
        <f t="shared" si="48"/>
        <v>0</v>
      </c>
      <c r="F102" s="293">
        <f t="shared" si="48"/>
        <v>0</v>
      </c>
      <c r="G102" s="293">
        <f t="shared" si="48"/>
        <v>0</v>
      </c>
      <c r="H102" s="293">
        <f t="shared" si="48"/>
        <v>0</v>
      </c>
    </row>
    <row r="103" spans="1:9">
      <c r="A103" s="10" t="str">
        <f t="shared" si="46"/>
        <v>Tomato</v>
      </c>
      <c r="B103" s="10">
        <f t="shared" si="47"/>
        <v>0</v>
      </c>
      <c r="C103" s="293">
        <f t="shared" si="48"/>
        <v>0</v>
      </c>
      <c r="D103" s="293">
        <f>(C103/C100)*D100</f>
        <v>0</v>
      </c>
      <c r="E103" s="293">
        <f t="shared" ref="E103:G103" si="49">(D103/D100)*E100</f>
        <v>0</v>
      </c>
      <c r="F103" s="293">
        <f t="shared" si="49"/>
        <v>0</v>
      </c>
      <c r="G103" s="293">
        <f t="shared" si="49"/>
        <v>0</v>
      </c>
      <c r="H103" s="293">
        <f>(G103/G100)*H100</f>
        <v>0</v>
      </c>
    </row>
    <row r="104" spans="1:9">
      <c r="A104" s="10" t="str">
        <f t="shared" si="46"/>
        <v>Okra</v>
      </c>
      <c r="B104" s="10">
        <f t="shared" si="47"/>
        <v>0</v>
      </c>
      <c r="C104" s="293">
        <f t="shared" si="48"/>
        <v>0</v>
      </c>
      <c r="D104" s="293">
        <f t="shared" si="48"/>
        <v>0</v>
      </c>
      <c r="E104" s="293">
        <f t="shared" si="48"/>
        <v>0</v>
      </c>
      <c r="F104" s="293">
        <f t="shared" si="48"/>
        <v>0</v>
      </c>
      <c r="G104" s="293">
        <f t="shared" si="48"/>
        <v>0</v>
      </c>
      <c r="H104" s="293">
        <f t="shared" si="48"/>
        <v>0</v>
      </c>
    </row>
    <row r="105" spans="1:9">
      <c r="A105" s="10" t="str">
        <f t="shared" si="46"/>
        <v>Chilli</v>
      </c>
      <c r="B105" s="10">
        <f t="shared" si="47"/>
        <v>0</v>
      </c>
      <c r="C105" s="293">
        <f t="shared" si="48"/>
        <v>0</v>
      </c>
      <c r="D105" s="293">
        <f t="shared" si="48"/>
        <v>0</v>
      </c>
      <c r="E105" s="293">
        <f t="shared" si="48"/>
        <v>0</v>
      </c>
      <c r="F105" s="293">
        <f t="shared" si="48"/>
        <v>0</v>
      </c>
      <c r="G105" s="293">
        <f t="shared" si="48"/>
        <v>0</v>
      </c>
      <c r="H105" s="293">
        <f t="shared" si="48"/>
        <v>0</v>
      </c>
    </row>
    <row r="106" spans="1:9">
      <c r="A106" s="10" t="str">
        <f t="shared" si="46"/>
        <v>Potato</v>
      </c>
      <c r="B106" s="363">
        <f t="shared" si="47"/>
        <v>0</v>
      </c>
      <c r="C106" s="293">
        <f t="shared" si="48"/>
        <v>0</v>
      </c>
      <c r="D106" s="293">
        <f t="shared" si="48"/>
        <v>0</v>
      </c>
      <c r="E106" s="293">
        <f t="shared" si="48"/>
        <v>0</v>
      </c>
      <c r="F106" s="293">
        <f t="shared" si="48"/>
        <v>0</v>
      </c>
      <c r="G106" s="293">
        <f t="shared" si="48"/>
        <v>0</v>
      </c>
      <c r="H106" s="293">
        <f t="shared" si="48"/>
        <v>0</v>
      </c>
    </row>
    <row r="107" spans="1:9">
      <c r="A107" s="10">
        <f t="shared" si="46"/>
        <v>0</v>
      </c>
      <c r="B107" s="10">
        <f t="shared" si="47"/>
        <v>0</v>
      </c>
      <c r="C107" s="293">
        <f t="shared" si="48"/>
        <v>0</v>
      </c>
      <c r="D107" s="293">
        <f t="shared" si="48"/>
        <v>0</v>
      </c>
      <c r="E107" s="293">
        <f t="shared" si="48"/>
        <v>0</v>
      </c>
      <c r="F107" s="293">
        <f t="shared" si="48"/>
        <v>0</v>
      </c>
      <c r="G107" s="293">
        <f t="shared" si="48"/>
        <v>0</v>
      </c>
      <c r="H107" s="293">
        <f t="shared" si="48"/>
        <v>0</v>
      </c>
    </row>
    <row r="108" spans="1:9">
      <c r="A108" s="10">
        <f t="shared" si="46"/>
        <v>0</v>
      </c>
      <c r="B108" s="10">
        <f t="shared" si="47"/>
        <v>0</v>
      </c>
      <c r="C108" s="293">
        <f t="shared" si="48"/>
        <v>0</v>
      </c>
      <c r="D108" s="293">
        <f t="shared" si="48"/>
        <v>0</v>
      </c>
      <c r="E108" s="293">
        <f t="shared" si="48"/>
        <v>0</v>
      </c>
      <c r="F108" s="293">
        <f t="shared" si="48"/>
        <v>0</v>
      </c>
      <c r="G108" s="293">
        <f t="shared" si="48"/>
        <v>0</v>
      </c>
      <c r="H108" s="293">
        <f t="shared" si="48"/>
        <v>0</v>
      </c>
    </row>
    <row r="109" spans="1:9">
      <c r="A109" s="10">
        <f t="shared" si="46"/>
        <v>0</v>
      </c>
      <c r="B109" s="10">
        <f t="shared" si="47"/>
        <v>0</v>
      </c>
      <c r="C109" s="293">
        <f t="shared" si="48"/>
        <v>0</v>
      </c>
      <c r="D109" s="293">
        <f t="shared" si="48"/>
        <v>0</v>
      </c>
      <c r="E109" s="293">
        <f t="shared" si="48"/>
        <v>0</v>
      </c>
      <c r="F109" s="293">
        <f t="shared" si="48"/>
        <v>0</v>
      </c>
      <c r="G109" s="293">
        <f t="shared" si="48"/>
        <v>0</v>
      </c>
      <c r="H109" s="293">
        <f t="shared" si="48"/>
        <v>0</v>
      </c>
    </row>
    <row r="110" spans="1:9">
      <c r="A110" s="10">
        <f t="shared" si="46"/>
        <v>0</v>
      </c>
      <c r="B110" s="10">
        <f t="shared" si="47"/>
        <v>0</v>
      </c>
      <c r="C110" s="293">
        <f t="shared" si="48"/>
        <v>0</v>
      </c>
      <c r="D110" s="293">
        <f t="shared" si="48"/>
        <v>0</v>
      </c>
      <c r="E110" s="293">
        <f t="shared" si="48"/>
        <v>0</v>
      </c>
      <c r="F110" s="293">
        <f t="shared" si="48"/>
        <v>0</v>
      </c>
      <c r="G110" s="293">
        <f t="shared" si="48"/>
        <v>0</v>
      </c>
      <c r="H110" s="293">
        <f t="shared" si="48"/>
        <v>0</v>
      </c>
    </row>
    <row r="111" spans="1:9">
      <c r="A111" s="10" t="str">
        <f t="shared" si="46"/>
        <v>Onion</v>
      </c>
      <c r="B111" s="10">
        <f t="shared" ref="B111:B118" si="50">D24*$B$100</f>
        <v>0</v>
      </c>
      <c r="C111" s="293">
        <f t="shared" si="48"/>
        <v>0</v>
      </c>
      <c r="D111" s="293">
        <f t="shared" si="48"/>
        <v>0</v>
      </c>
      <c r="E111" s="293">
        <f t="shared" si="48"/>
        <v>0</v>
      </c>
      <c r="F111" s="293">
        <f t="shared" si="48"/>
        <v>0</v>
      </c>
      <c r="G111" s="293">
        <f t="shared" si="48"/>
        <v>0</v>
      </c>
      <c r="H111" s="293">
        <f t="shared" si="48"/>
        <v>0</v>
      </c>
    </row>
    <row r="112" spans="1:9">
      <c r="A112" s="10" t="str">
        <f t="shared" si="46"/>
        <v>Tomato</v>
      </c>
      <c r="B112" s="10">
        <f t="shared" si="50"/>
        <v>0</v>
      </c>
      <c r="C112" s="293">
        <f t="shared" si="48"/>
        <v>0</v>
      </c>
      <c r="D112" s="293">
        <f t="shared" si="48"/>
        <v>0</v>
      </c>
      <c r="E112" s="293">
        <f t="shared" si="48"/>
        <v>0</v>
      </c>
      <c r="F112" s="293">
        <f t="shared" si="48"/>
        <v>0</v>
      </c>
      <c r="G112" s="293">
        <f t="shared" si="48"/>
        <v>0</v>
      </c>
      <c r="H112" s="293">
        <f t="shared" si="48"/>
        <v>0</v>
      </c>
    </row>
    <row r="113" spans="1:9">
      <c r="A113" s="10" t="str">
        <f t="shared" si="46"/>
        <v>Okra</v>
      </c>
      <c r="B113" s="10">
        <f t="shared" si="50"/>
        <v>0</v>
      </c>
      <c r="C113" s="293">
        <f t="shared" si="48"/>
        <v>0</v>
      </c>
      <c r="D113" s="293">
        <f t="shared" si="48"/>
        <v>0</v>
      </c>
      <c r="E113" s="293">
        <f t="shared" si="48"/>
        <v>0</v>
      </c>
      <c r="F113" s="293">
        <f t="shared" si="48"/>
        <v>0</v>
      </c>
      <c r="G113" s="293">
        <f t="shared" si="48"/>
        <v>0</v>
      </c>
      <c r="H113" s="293">
        <f t="shared" si="48"/>
        <v>0</v>
      </c>
    </row>
    <row r="114" spans="1:9">
      <c r="A114" s="10" t="str">
        <f t="shared" si="46"/>
        <v>Chilli</v>
      </c>
      <c r="B114" s="10">
        <f t="shared" si="50"/>
        <v>0</v>
      </c>
      <c r="C114" s="293">
        <f t="shared" si="48"/>
        <v>0</v>
      </c>
      <c r="D114" s="293">
        <f t="shared" si="48"/>
        <v>0</v>
      </c>
      <c r="E114" s="293">
        <f t="shared" si="48"/>
        <v>0</v>
      </c>
      <c r="F114" s="293">
        <f t="shared" si="48"/>
        <v>0</v>
      </c>
      <c r="G114" s="293">
        <f t="shared" si="48"/>
        <v>0</v>
      </c>
      <c r="H114" s="293">
        <f t="shared" si="48"/>
        <v>0</v>
      </c>
    </row>
    <row r="115" spans="1:9">
      <c r="A115" s="10" t="str">
        <f t="shared" si="46"/>
        <v>Brinjal</v>
      </c>
      <c r="B115" s="10">
        <f t="shared" si="50"/>
        <v>0</v>
      </c>
      <c r="C115" s="293">
        <f t="shared" si="48"/>
        <v>0</v>
      </c>
      <c r="D115" s="293">
        <f t="shared" si="48"/>
        <v>0</v>
      </c>
      <c r="E115" s="293">
        <f t="shared" si="48"/>
        <v>0</v>
      </c>
      <c r="F115" s="293">
        <f t="shared" si="48"/>
        <v>0</v>
      </c>
      <c r="G115" s="293">
        <f t="shared" si="48"/>
        <v>0</v>
      </c>
      <c r="H115" s="293">
        <f t="shared" si="48"/>
        <v>0</v>
      </c>
    </row>
    <row r="116" spans="1:9">
      <c r="A116" s="10">
        <f t="shared" si="46"/>
        <v>0</v>
      </c>
      <c r="B116" s="10">
        <f t="shared" si="50"/>
        <v>0</v>
      </c>
      <c r="C116" s="293">
        <f t="shared" si="48"/>
        <v>0</v>
      </c>
      <c r="D116" s="293">
        <f t="shared" si="48"/>
        <v>0</v>
      </c>
      <c r="E116" s="293">
        <f t="shared" si="48"/>
        <v>0</v>
      </c>
      <c r="F116" s="293">
        <f t="shared" si="48"/>
        <v>0</v>
      </c>
      <c r="G116" s="293">
        <f t="shared" si="48"/>
        <v>0</v>
      </c>
      <c r="H116" s="293">
        <f t="shared" si="48"/>
        <v>0</v>
      </c>
    </row>
    <row r="117" spans="1:9">
      <c r="A117" s="10">
        <f t="shared" si="46"/>
        <v>0</v>
      </c>
      <c r="B117" s="10">
        <f t="shared" si="50"/>
        <v>0</v>
      </c>
      <c r="C117" s="293">
        <f t="shared" si="48"/>
        <v>0</v>
      </c>
      <c r="D117" s="293">
        <f t="shared" si="48"/>
        <v>0</v>
      </c>
      <c r="E117" s="293">
        <f t="shared" si="48"/>
        <v>0</v>
      </c>
      <c r="F117" s="293">
        <f t="shared" si="48"/>
        <v>0</v>
      </c>
      <c r="G117" s="293">
        <f t="shared" si="48"/>
        <v>0</v>
      </c>
      <c r="H117" s="293">
        <f t="shared" si="48"/>
        <v>0</v>
      </c>
    </row>
    <row r="118" spans="1:9">
      <c r="A118" s="10">
        <f t="shared" si="46"/>
        <v>0</v>
      </c>
      <c r="B118" s="10">
        <f t="shared" si="50"/>
        <v>0</v>
      </c>
      <c r="C118" s="293">
        <f t="shared" ref="C118:H126" si="51">(B118/B$100)*C$100</f>
        <v>0</v>
      </c>
      <c r="D118" s="293">
        <f t="shared" si="51"/>
        <v>0</v>
      </c>
      <c r="E118" s="293">
        <f t="shared" si="51"/>
        <v>0</v>
      </c>
      <c r="F118" s="293">
        <f t="shared" si="51"/>
        <v>0</v>
      </c>
      <c r="G118" s="293">
        <f t="shared" si="51"/>
        <v>0</v>
      </c>
      <c r="H118" s="293">
        <f t="shared" si="51"/>
        <v>0</v>
      </c>
    </row>
    <row r="119" spans="1:9">
      <c r="A119" s="10">
        <f t="shared" si="46"/>
        <v>0</v>
      </c>
      <c r="B119" s="10">
        <f t="shared" ref="B119:B126" si="52">D33*$B$100</f>
        <v>0</v>
      </c>
      <c r="C119" s="293">
        <f t="shared" si="51"/>
        <v>0</v>
      </c>
      <c r="D119" s="293">
        <f t="shared" si="51"/>
        <v>0</v>
      </c>
      <c r="E119" s="293">
        <f t="shared" si="51"/>
        <v>0</v>
      </c>
      <c r="F119" s="293">
        <f t="shared" si="51"/>
        <v>0</v>
      </c>
      <c r="G119" s="293">
        <f t="shared" si="51"/>
        <v>0</v>
      </c>
      <c r="H119" s="293">
        <f t="shared" si="51"/>
        <v>0</v>
      </c>
    </row>
    <row r="120" spans="1:9">
      <c r="A120" s="10">
        <f t="shared" si="46"/>
        <v>0</v>
      </c>
      <c r="B120" s="10">
        <f t="shared" si="52"/>
        <v>0</v>
      </c>
      <c r="C120" s="293">
        <f t="shared" si="51"/>
        <v>0</v>
      </c>
      <c r="D120" s="293">
        <f t="shared" ref="D120:D122" si="53">(C120/C$100)*D$100</f>
        <v>0</v>
      </c>
      <c r="E120" s="293">
        <f t="shared" ref="E120:E122" si="54">(D120/D$100)*E$100</f>
        <v>0</v>
      </c>
      <c r="F120" s="293">
        <f t="shared" ref="F120:F122" si="55">(E120/E$100)*F$100</f>
        <v>0</v>
      </c>
      <c r="G120" s="293">
        <f t="shared" ref="G120:G122" si="56">(F120/F$100)*G$100</f>
        <v>0</v>
      </c>
      <c r="H120" s="293">
        <f t="shared" si="51"/>
        <v>0</v>
      </c>
    </row>
    <row r="121" spans="1:9">
      <c r="A121" s="10">
        <f t="shared" si="46"/>
        <v>0</v>
      </c>
      <c r="B121" s="10">
        <f t="shared" si="52"/>
        <v>0</v>
      </c>
      <c r="C121" s="293">
        <f t="shared" si="51"/>
        <v>0</v>
      </c>
      <c r="D121" s="293">
        <f t="shared" si="53"/>
        <v>0</v>
      </c>
      <c r="E121" s="293">
        <f t="shared" si="54"/>
        <v>0</v>
      </c>
      <c r="F121" s="293">
        <f t="shared" si="55"/>
        <v>0</v>
      </c>
      <c r="G121" s="293">
        <f t="shared" si="56"/>
        <v>0</v>
      </c>
      <c r="H121" s="293">
        <f t="shared" si="51"/>
        <v>0</v>
      </c>
    </row>
    <row r="122" spans="1:9">
      <c r="A122" s="10">
        <f t="shared" si="46"/>
        <v>0</v>
      </c>
      <c r="B122" s="10">
        <f t="shared" si="52"/>
        <v>0</v>
      </c>
      <c r="C122" s="293">
        <f t="shared" si="51"/>
        <v>0</v>
      </c>
      <c r="D122" s="293">
        <f t="shared" si="53"/>
        <v>0</v>
      </c>
      <c r="E122" s="293">
        <f t="shared" si="54"/>
        <v>0</v>
      </c>
      <c r="F122" s="293">
        <f t="shared" si="55"/>
        <v>0</v>
      </c>
      <c r="G122" s="293">
        <f t="shared" si="56"/>
        <v>0</v>
      </c>
      <c r="H122" s="293">
        <f t="shared" si="51"/>
        <v>0</v>
      </c>
    </row>
    <row r="123" spans="1:9">
      <c r="A123" s="10" t="str">
        <f t="shared" si="46"/>
        <v>Pomegranate</v>
      </c>
      <c r="B123" s="10">
        <f t="shared" si="52"/>
        <v>0</v>
      </c>
      <c r="C123" s="293">
        <f t="shared" si="51"/>
        <v>0</v>
      </c>
      <c r="D123" s="293">
        <f t="shared" si="51"/>
        <v>0</v>
      </c>
      <c r="E123" s="293">
        <f t="shared" si="51"/>
        <v>0</v>
      </c>
      <c r="F123" s="293">
        <f t="shared" si="51"/>
        <v>0</v>
      </c>
      <c r="G123" s="293">
        <f t="shared" si="51"/>
        <v>0</v>
      </c>
      <c r="H123" s="293">
        <f t="shared" si="51"/>
        <v>0</v>
      </c>
    </row>
    <row r="124" spans="1:9">
      <c r="A124" s="10" t="str">
        <f t="shared" si="46"/>
        <v>Custard Apple</v>
      </c>
      <c r="B124" s="10">
        <f t="shared" si="52"/>
        <v>0</v>
      </c>
      <c r="C124" s="293">
        <f t="shared" si="51"/>
        <v>0</v>
      </c>
      <c r="D124" s="293">
        <f t="shared" ref="D124" si="57">(C124/C$100)*D$100</f>
        <v>0</v>
      </c>
      <c r="E124" s="293">
        <f t="shared" ref="E124" si="58">(D124/D$100)*E$100</f>
        <v>0</v>
      </c>
      <c r="F124" s="293">
        <f t="shared" ref="F124" si="59">(E124/E$100)*F$100</f>
        <v>0</v>
      </c>
      <c r="G124" s="293">
        <f t="shared" ref="G124" si="60">(F124/F$100)*G$100</f>
        <v>0</v>
      </c>
      <c r="H124" s="293">
        <f t="shared" si="51"/>
        <v>0</v>
      </c>
    </row>
    <row r="125" spans="1:9">
      <c r="A125" s="10" t="str">
        <f t="shared" si="46"/>
        <v>Guava</v>
      </c>
      <c r="B125" s="10">
        <f t="shared" si="52"/>
        <v>0</v>
      </c>
      <c r="C125" s="293">
        <f t="shared" si="51"/>
        <v>0</v>
      </c>
      <c r="D125" s="293">
        <f t="shared" si="51"/>
        <v>0</v>
      </c>
      <c r="E125" s="293">
        <f t="shared" si="51"/>
        <v>0</v>
      </c>
      <c r="F125" s="293">
        <f t="shared" si="51"/>
        <v>0</v>
      </c>
      <c r="G125" s="293">
        <f t="shared" si="51"/>
        <v>0</v>
      </c>
      <c r="H125" s="293">
        <f t="shared" si="51"/>
        <v>0</v>
      </c>
    </row>
    <row r="126" spans="1:9">
      <c r="A126" s="10" t="str">
        <f t="shared" si="46"/>
        <v>Citrus</v>
      </c>
      <c r="B126" s="10">
        <f t="shared" si="52"/>
        <v>0</v>
      </c>
      <c r="C126" s="293">
        <f t="shared" si="51"/>
        <v>0</v>
      </c>
      <c r="D126" s="293">
        <f t="shared" si="51"/>
        <v>0</v>
      </c>
      <c r="E126" s="293">
        <f t="shared" si="51"/>
        <v>0</v>
      </c>
      <c r="F126" s="293">
        <f t="shared" si="51"/>
        <v>0</v>
      </c>
      <c r="G126" s="293">
        <f t="shared" si="51"/>
        <v>0</v>
      </c>
      <c r="H126" s="293">
        <f t="shared" si="51"/>
        <v>0</v>
      </c>
    </row>
    <row r="128" spans="1:9">
      <c r="C128" s="4"/>
      <c r="D128" s="6"/>
      <c r="E128" s="6"/>
      <c r="F128" s="6"/>
      <c r="G128" s="6"/>
      <c r="H128" s="6"/>
      <c r="I128" s="6"/>
    </row>
    <row r="129" spans="1:9">
      <c r="A129" t="s">
        <v>491</v>
      </c>
      <c r="C129" s="303"/>
      <c r="D129" s="303"/>
      <c r="E129" s="303"/>
      <c r="F129" s="303"/>
      <c r="G129" s="303"/>
      <c r="H129" s="303"/>
      <c r="I129" s="303"/>
    </row>
    <row r="130" spans="1:9">
      <c r="A130">
        <v>1</v>
      </c>
      <c r="B130" t="s">
        <v>492</v>
      </c>
    </row>
    <row r="131" spans="1:9">
      <c r="A131">
        <v>2</v>
      </c>
      <c r="B131" t="s">
        <v>493</v>
      </c>
    </row>
    <row r="132" spans="1:9">
      <c r="A132">
        <v>3</v>
      </c>
      <c r="B132" t="s">
        <v>494</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topLeftCell="A296" zoomScale="96" zoomScaleSheetLayoutView="96" workbookViewId="0">
      <selection activeCell="D18" sqref="D18"/>
    </sheetView>
  </sheetViews>
  <sheetFormatPr defaultRowHeight="15"/>
  <cols>
    <col min="1" max="1" width="42.42578125" bestFit="1" customWidth="1"/>
    <col min="2" max="2" width="23.42578125" customWidth="1"/>
    <col min="3" max="3" width="11.85546875" customWidth="1"/>
    <col min="4" max="5" width="12.28515625" bestFit="1" customWidth="1"/>
    <col min="6" max="6" width="17.85546875" bestFit="1" customWidth="1"/>
    <col min="7" max="10" width="15.85546875" bestFit="1" customWidth="1"/>
    <col min="11" max="11" width="10.5703125" bestFit="1" customWidth="1"/>
    <col min="12" max="12" width="10.7109375" bestFit="1" customWidth="1"/>
    <col min="13" max="13" width="22.85546875" bestFit="1" customWidth="1"/>
    <col min="14" max="14" width="12.85546875" bestFit="1" customWidth="1"/>
  </cols>
  <sheetData>
    <row r="2" spans="1:8" ht="18.75">
      <c r="A2" s="419" t="s">
        <v>528</v>
      </c>
      <c r="B2" s="419"/>
      <c r="C2" s="419"/>
      <c r="D2" s="419"/>
      <c r="E2" s="419"/>
      <c r="F2" s="419"/>
      <c r="G2" s="419"/>
      <c r="H2" s="419"/>
    </row>
    <row r="3" spans="1:8" ht="18.75">
      <c r="A3" s="419" t="s">
        <v>529</v>
      </c>
      <c r="B3" s="419"/>
      <c r="C3" s="419"/>
      <c r="D3" s="419"/>
      <c r="E3" s="419"/>
      <c r="F3" s="419"/>
      <c r="G3" s="419"/>
      <c r="H3" s="419"/>
    </row>
    <row r="4" spans="1:8">
      <c r="B4" s="92"/>
      <c r="C4" s="92"/>
      <c r="D4" s="92"/>
      <c r="E4" s="92"/>
      <c r="F4" s="420" t="s">
        <v>436</v>
      </c>
      <c r="G4" s="420"/>
      <c r="H4" s="420"/>
    </row>
    <row r="5" spans="1:8">
      <c r="A5" s="92" t="s">
        <v>160</v>
      </c>
      <c r="B5" s="243">
        <v>14</v>
      </c>
      <c r="C5" s="92" t="s">
        <v>412</v>
      </c>
      <c r="D5" s="92"/>
      <c r="E5" s="92"/>
      <c r="F5" s="282" t="s">
        <v>437</v>
      </c>
      <c r="G5" s="282" t="s">
        <v>438</v>
      </c>
      <c r="H5" s="92"/>
    </row>
    <row r="6" spans="1:8">
      <c r="A6" s="92" t="s">
        <v>161</v>
      </c>
      <c r="B6" s="272">
        <v>7</v>
      </c>
      <c r="C6" s="92"/>
      <c r="D6" s="92"/>
      <c r="E6" s="92"/>
      <c r="F6" s="10" t="s">
        <v>434</v>
      </c>
      <c r="G6" s="309">
        <v>0.03</v>
      </c>
      <c r="H6" s="92"/>
    </row>
    <row r="7" spans="1:8">
      <c r="A7" s="92"/>
      <c r="B7" s="92"/>
      <c r="C7" s="92"/>
      <c r="D7" s="92"/>
      <c r="E7" s="92"/>
      <c r="F7" s="10" t="s">
        <v>435</v>
      </c>
      <c r="G7" s="309">
        <v>0.05</v>
      </c>
      <c r="H7" s="92"/>
    </row>
    <row r="8" spans="1:8">
      <c r="A8" s="92" t="s">
        <v>479</v>
      </c>
      <c r="B8" s="92">
        <v>180</v>
      </c>
      <c r="C8" s="92"/>
      <c r="D8" s="92"/>
      <c r="E8" s="92"/>
      <c r="F8" s="10"/>
      <c r="G8" s="309"/>
      <c r="H8" s="92"/>
    </row>
    <row r="9" spans="1:8">
      <c r="A9" s="146" t="s">
        <v>0</v>
      </c>
      <c r="B9" s="118" t="s">
        <v>2</v>
      </c>
      <c r="C9" s="118" t="s">
        <v>3</v>
      </c>
      <c r="D9" s="118" t="s">
        <v>4</v>
      </c>
      <c r="E9" s="118" t="s">
        <v>5</v>
      </c>
      <c r="F9" s="118" t="s">
        <v>6</v>
      </c>
      <c r="G9" s="118" t="s">
        <v>168</v>
      </c>
      <c r="H9" s="118" t="s">
        <v>167</v>
      </c>
    </row>
    <row r="10" spans="1:8">
      <c r="A10" s="93" t="s">
        <v>411</v>
      </c>
      <c r="B10" s="287">
        <f>B33/($B$5*$B$6)</f>
        <v>187.26589285714286</v>
      </c>
      <c r="C10" s="287">
        <f t="shared" ref="C10:H10" si="0">C33/($B$5*$B$6)</f>
        <v>205.99248214285717</v>
      </c>
      <c r="D10" s="287">
        <f t="shared" si="0"/>
        <v>224.71907142857143</v>
      </c>
      <c r="E10" s="287">
        <f t="shared" si="0"/>
        <v>243.44566071428574</v>
      </c>
      <c r="F10" s="287">
        <f t="shared" si="0"/>
        <v>262.17225000000008</v>
      </c>
      <c r="G10" s="287">
        <f t="shared" si="0"/>
        <v>280.8988392857143</v>
      </c>
      <c r="H10" s="287">
        <f t="shared" si="0"/>
        <v>299.62542857142864</v>
      </c>
    </row>
    <row r="11" spans="1:8">
      <c r="A11" s="199" t="str">
        <f>'10.Grain Production details'!A43</f>
        <v>Soybean</v>
      </c>
      <c r="B11" s="199">
        <f>'10.Grain Production details'!B43</f>
        <v>0</v>
      </c>
      <c r="C11" s="199">
        <f>'10.Grain Production details'!C43</f>
        <v>0</v>
      </c>
      <c r="D11" s="199">
        <f>'10.Grain Production details'!D43</f>
        <v>0</v>
      </c>
      <c r="E11" s="199">
        <f>'10.Grain Production details'!E43</f>
        <v>0</v>
      </c>
      <c r="F11" s="199">
        <f>'10.Grain Production details'!F43</f>
        <v>0</v>
      </c>
      <c r="G11" s="199">
        <f>'10.Grain Production details'!G43</f>
        <v>0</v>
      </c>
      <c r="H11" s="199">
        <f>'10.Grain Production details'!H43</f>
        <v>0</v>
      </c>
    </row>
    <row r="12" spans="1:8">
      <c r="A12" s="199" t="str">
        <f>'10.Grain Production details'!A44</f>
        <v>Red Gram/Tur</v>
      </c>
      <c r="B12" s="199">
        <f>'10.Grain Production details'!B44</f>
        <v>465.97500000000002</v>
      </c>
      <c r="C12" s="199">
        <f>'10.Grain Production details'!C44</f>
        <v>512.5725000000001</v>
      </c>
      <c r="D12" s="199">
        <f>'10.Grain Production details'!D44</f>
        <v>559.17000000000019</v>
      </c>
      <c r="E12" s="199">
        <f>'10.Grain Production details'!E44</f>
        <v>605.76750000000027</v>
      </c>
      <c r="F12" s="199">
        <f>'10.Grain Production details'!F44</f>
        <v>652.36500000000035</v>
      </c>
      <c r="G12" s="199">
        <f>'10.Grain Production details'!G44</f>
        <v>698.96250000000043</v>
      </c>
      <c r="H12" s="199">
        <f>'10.Grain Production details'!H44</f>
        <v>745.56000000000051</v>
      </c>
    </row>
    <row r="13" spans="1:8">
      <c r="A13" s="199" t="str">
        <f>'10.Grain Production details'!A45</f>
        <v>Paddy/Rice</v>
      </c>
      <c r="B13" s="199">
        <f>'10.Grain Production details'!B45</f>
        <v>0</v>
      </c>
      <c r="C13" s="199">
        <f>'10.Grain Production details'!C45</f>
        <v>0</v>
      </c>
      <c r="D13" s="199">
        <f>'10.Grain Production details'!D45</f>
        <v>0</v>
      </c>
      <c r="E13" s="199">
        <f>'10.Grain Production details'!E45</f>
        <v>0</v>
      </c>
      <c r="F13" s="199">
        <f>'10.Grain Production details'!F45</f>
        <v>0</v>
      </c>
      <c r="G13" s="199">
        <f>'10.Grain Production details'!G45</f>
        <v>0</v>
      </c>
      <c r="H13" s="199">
        <f>'10.Grain Production details'!H45</f>
        <v>0</v>
      </c>
    </row>
    <row r="14" spans="1:8">
      <c r="A14" s="199" t="str">
        <f>'10.Grain Production details'!A46</f>
        <v>Green Gram/ Moong</v>
      </c>
      <c r="B14" s="199">
        <f>'10.Grain Production details'!B46</f>
        <v>0</v>
      </c>
      <c r="C14" s="199">
        <f>'10.Grain Production details'!C46</f>
        <v>0</v>
      </c>
      <c r="D14" s="199">
        <f>'10.Grain Production details'!D46</f>
        <v>0</v>
      </c>
      <c r="E14" s="199">
        <f>'10.Grain Production details'!E46</f>
        <v>0</v>
      </c>
      <c r="F14" s="199">
        <f>'10.Grain Production details'!F46</f>
        <v>0</v>
      </c>
      <c r="G14" s="199">
        <f>'10.Grain Production details'!G46</f>
        <v>0</v>
      </c>
      <c r="H14" s="199">
        <f>'10.Grain Production details'!H46</f>
        <v>0</v>
      </c>
    </row>
    <row r="15" spans="1:8">
      <c r="A15" s="199" t="str">
        <f>'10.Grain Production details'!A47</f>
        <v>Maize</v>
      </c>
      <c r="B15" s="199">
        <f>'10.Grain Production details'!B47</f>
        <v>3891.3</v>
      </c>
      <c r="C15" s="199">
        <f>'10.Grain Production details'!C47</f>
        <v>4280.43</v>
      </c>
      <c r="D15" s="199">
        <f>'10.Grain Production details'!D47</f>
        <v>4669.5600000000004</v>
      </c>
      <c r="E15" s="199">
        <f>'10.Grain Production details'!E47</f>
        <v>5058.6900000000005</v>
      </c>
      <c r="F15" s="199">
        <f>'10.Grain Production details'!F47</f>
        <v>5447.8200000000006</v>
      </c>
      <c r="G15" s="199">
        <f>'10.Grain Production details'!G47</f>
        <v>5836.9500000000007</v>
      </c>
      <c r="H15" s="199">
        <f>'10.Grain Production details'!H47</f>
        <v>6226.0800000000008</v>
      </c>
    </row>
    <row r="16" spans="1:8">
      <c r="A16" s="199" t="str">
        <f>'10.Grain Production details'!A48</f>
        <v>Black Gram/Udid</v>
      </c>
      <c r="B16" s="199">
        <f>'10.Grain Production details'!B48</f>
        <v>0</v>
      </c>
      <c r="C16" s="199">
        <f>'10.Grain Production details'!C48</f>
        <v>0</v>
      </c>
      <c r="D16" s="199">
        <f>'10.Grain Production details'!D48</f>
        <v>0</v>
      </c>
      <c r="E16" s="199">
        <f>'10.Grain Production details'!E48</f>
        <v>0</v>
      </c>
      <c r="F16" s="199">
        <f>'10.Grain Production details'!F48</f>
        <v>0</v>
      </c>
      <c r="G16" s="199">
        <f>'10.Grain Production details'!G48</f>
        <v>0</v>
      </c>
      <c r="H16" s="199">
        <f>'10.Grain Production details'!H48</f>
        <v>0</v>
      </c>
    </row>
    <row r="17" spans="1:10">
      <c r="A17" s="199" t="str">
        <f>'10.Grain Production details'!A49</f>
        <v>Bajra</v>
      </c>
      <c r="B17" s="199">
        <f>'10.Grain Production details'!B49</f>
        <v>0</v>
      </c>
      <c r="C17" s="199">
        <f>'10.Grain Production details'!C49</f>
        <v>0</v>
      </c>
      <c r="D17" s="199">
        <f>'10.Grain Production details'!D49</f>
        <v>0</v>
      </c>
      <c r="E17" s="199">
        <f>'10.Grain Production details'!E49</f>
        <v>0</v>
      </c>
      <c r="F17" s="199">
        <f>'10.Grain Production details'!F49</f>
        <v>0</v>
      </c>
      <c r="G17" s="199">
        <f>'10.Grain Production details'!G49</f>
        <v>0</v>
      </c>
      <c r="H17" s="199">
        <f>'10.Grain Production details'!H49</f>
        <v>0</v>
      </c>
    </row>
    <row r="18" spans="1:10">
      <c r="A18" s="199" t="str">
        <f>'10.Grain Production details'!A50</f>
        <v>Jawar</v>
      </c>
      <c r="B18" s="199">
        <f>'10.Grain Production details'!B50</f>
        <v>0</v>
      </c>
      <c r="C18" s="199">
        <f>'10.Grain Production details'!C50</f>
        <v>0</v>
      </c>
      <c r="D18" s="199">
        <f>'10.Grain Production details'!D50</f>
        <v>0</v>
      </c>
      <c r="E18" s="199">
        <f>'10.Grain Production details'!E50</f>
        <v>0</v>
      </c>
      <c r="F18" s="199">
        <f>'10.Grain Production details'!F50</f>
        <v>0</v>
      </c>
      <c r="G18" s="199">
        <f>'10.Grain Production details'!G50</f>
        <v>0</v>
      </c>
      <c r="H18" s="199">
        <f>'10.Grain Production details'!H50</f>
        <v>0</v>
      </c>
    </row>
    <row r="19" spans="1:10">
      <c r="A19" s="199" t="str">
        <f>'10.Grain Production details'!A51</f>
        <v>Sunflower</v>
      </c>
      <c r="B19" s="199">
        <f>'10.Grain Production details'!B51</f>
        <v>0</v>
      </c>
      <c r="C19" s="199">
        <f>'10.Grain Production details'!C51</f>
        <v>0</v>
      </c>
      <c r="D19" s="199">
        <f>'10.Grain Production details'!D51</f>
        <v>0</v>
      </c>
      <c r="E19" s="199">
        <f>'10.Grain Production details'!E51</f>
        <v>0</v>
      </c>
      <c r="F19" s="199">
        <f>'10.Grain Production details'!F51</f>
        <v>0</v>
      </c>
      <c r="G19" s="199">
        <f>'10.Grain Production details'!G51</f>
        <v>0</v>
      </c>
      <c r="H19" s="199">
        <f>'10.Grain Production details'!H51</f>
        <v>0</v>
      </c>
    </row>
    <row r="20" spans="1:10">
      <c r="A20" s="199" t="str">
        <f>'10.Grain Production details'!A52</f>
        <v>Wheat</v>
      </c>
      <c r="B20" s="199">
        <f>'10.Grain Production details'!B52</f>
        <v>0</v>
      </c>
      <c r="C20" s="199">
        <f>'10.Grain Production details'!C52</f>
        <v>0</v>
      </c>
      <c r="D20" s="199">
        <f>'10.Grain Production details'!D52</f>
        <v>0</v>
      </c>
      <c r="E20" s="199">
        <f>'10.Grain Production details'!E52</f>
        <v>0</v>
      </c>
      <c r="F20" s="199">
        <f>'10.Grain Production details'!F52</f>
        <v>0</v>
      </c>
      <c r="G20" s="199">
        <f>'10.Grain Production details'!G52</f>
        <v>0</v>
      </c>
      <c r="H20" s="199">
        <f>'10.Grain Production details'!H52</f>
        <v>0</v>
      </c>
    </row>
    <row r="21" spans="1:10">
      <c r="A21" s="199" t="str">
        <f>'10.Grain Production details'!A53</f>
        <v>Bengal Gram/Channa</v>
      </c>
      <c r="B21" s="199">
        <f>'10.Grain Production details'!B53</f>
        <v>2042.9324999999999</v>
      </c>
      <c r="C21" s="199">
        <f>'10.Grain Production details'!C53</f>
        <v>2247.2257500000001</v>
      </c>
      <c r="D21" s="199">
        <f>'10.Grain Production details'!D53</f>
        <v>2451.5190000000002</v>
      </c>
      <c r="E21" s="199">
        <f>'10.Grain Production details'!E53</f>
        <v>2655.8122500000004</v>
      </c>
      <c r="F21" s="199">
        <f>'10.Grain Production details'!F53</f>
        <v>2860.1055000000006</v>
      </c>
      <c r="G21" s="199">
        <f>'10.Grain Production details'!G53</f>
        <v>3064.3987500000007</v>
      </c>
      <c r="H21" s="199">
        <f>'10.Grain Production details'!H53</f>
        <v>3268.6920000000009</v>
      </c>
    </row>
    <row r="22" spans="1:10">
      <c r="A22" s="199" t="str">
        <f>'10.Grain Production details'!A54</f>
        <v>Jawar</v>
      </c>
      <c r="B22" s="199">
        <f>'10.Grain Production details'!B54</f>
        <v>9450.2999999999993</v>
      </c>
      <c r="C22" s="199">
        <f>'10.Grain Production details'!C54</f>
        <v>10395.33</v>
      </c>
      <c r="D22" s="199">
        <f>'10.Grain Production details'!D54</f>
        <v>11340.36</v>
      </c>
      <c r="E22" s="199">
        <f>'10.Grain Production details'!E54</f>
        <v>12285.390000000001</v>
      </c>
      <c r="F22" s="199">
        <f>'10.Grain Production details'!F54</f>
        <v>13230.420000000002</v>
      </c>
      <c r="G22" s="199">
        <f>'10.Grain Production details'!G54</f>
        <v>14175.450000000003</v>
      </c>
      <c r="H22" s="199">
        <f>'10.Grain Production details'!H54</f>
        <v>15120.480000000003</v>
      </c>
      <c r="J22" s="393"/>
    </row>
    <row r="23" spans="1:10">
      <c r="A23" s="199" t="str">
        <f>'10.Grain Production details'!A55</f>
        <v>Maize</v>
      </c>
      <c r="B23" s="199">
        <f>'10.Grain Production details'!B55</f>
        <v>0</v>
      </c>
      <c r="C23" s="199">
        <f>'10.Grain Production details'!C55</f>
        <v>0</v>
      </c>
      <c r="D23" s="199">
        <f>'10.Grain Production details'!D55</f>
        <v>0</v>
      </c>
      <c r="E23" s="199">
        <f>'10.Grain Production details'!E55</f>
        <v>0</v>
      </c>
      <c r="F23" s="199">
        <f>'10.Grain Production details'!F55</f>
        <v>0</v>
      </c>
      <c r="G23" s="199">
        <f>'10.Grain Production details'!G55</f>
        <v>0</v>
      </c>
      <c r="H23" s="199">
        <f>'10.Grain Production details'!H55</f>
        <v>0</v>
      </c>
    </row>
    <row r="24" spans="1:10">
      <c r="A24" s="199" t="str">
        <f>'10.Grain Production details'!A56</f>
        <v>Safflower</v>
      </c>
      <c r="B24" s="199">
        <f>'10.Grain Production details'!B56</f>
        <v>0</v>
      </c>
      <c r="C24" s="199">
        <f>'10.Grain Production details'!C56</f>
        <v>0</v>
      </c>
      <c r="D24" s="199">
        <f>'10.Grain Production details'!D56</f>
        <v>0</v>
      </c>
      <c r="E24" s="199">
        <f>'10.Grain Production details'!E56</f>
        <v>0</v>
      </c>
      <c r="F24" s="199">
        <f>'10.Grain Production details'!F56</f>
        <v>0</v>
      </c>
      <c r="G24" s="199">
        <f>'10.Grain Production details'!G56</f>
        <v>0</v>
      </c>
      <c r="H24" s="199">
        <f>'10.Grain Production details'!H56</f>
        <v>0</v>
      </c>
    </row>
    <row r="25" spans="1:10">
      <c r="A25" s="199">
        <f>'10.Grain Production details'!A57</f>
        <v>0</v>
      </c>
      <c r="B25" s="199">
        <f>'10.Grain Production details'!B57</f>
        <v>0</v>
      </c>
      <c r="C25" s="199">
        <f>'10.Grain Production details'!C57</f>
        <v>0</v>
      </c>
      <c r="D25" s="199">
        <f>'10.Grain Production details'!D57</f>
        <v>0</v>
      </c>
      <c r="E25" s="199">
        <f>'10.Grain Production details'!E57</f>
        <v>0</v>
      </c>
      <c r="F25" s="199">
        <f>'10.Grain Production details'!F57</f>
        <v>0</v>
      </c>
      <c r="G25" s="199">
        <f>'10.Grain Production details'!G57</f>
        <v>0</v>
      </c>
      <c r="H25" s="199">
        <f>'10.Grain Production details'!H57</f>
        <v>0</v>
      </c>
    </row>
    <row r="26" spans="1:10">
      <c r="A26" s="199">
        <f>'10.Grain Production details'!A58</f>
        <v>0</v>
      </c>
      <c r="B26" s="199">
        <f>'10.Grain Production details'!B58</f>
        <v>0</v>
      </c>
      <c r="C26" s="199">
        <f>'10.Grain Production details'!C58</f>
        <v>0</v>
      </c>
      <c r="D26" s="199">
        <f>'10.Grain Production details'!D58</f>
        <v>0</v>
      </c>
      <c r="E26" s="199">
        <f>'10.Grain Production details'!E58</f>
        <v>0</v>
      </c>
      <c r="F26" s="199">
        <f>'10.Grain Production details'!F58</f>
        <v>0</v>
      </c>
      <c r="G26" s="199">
        <f>'10.Grain Production details'!G58</f>
        <v>0</v>
      </c>
      <c r="H26" s="199">
        <f>'10.Grain Production details'!H58</f>
        <v>0</v>
      </c>
    </row>
    <row r="27" spans="1:10">
      <c r="A27" s="199">
        <f>'10.Grain Production details'!A59</f>
        <v>0</v>
      </c>
      <c r="B27" s="199">
        <f>'10.Grain Production details'!B59</f>
        <v>0</v>
      </c>
      <c r="C27" s="199">
        <f>'10.Grain Production details'!C59</f>
        <v>0</v>
      </c>
      <c r="D27" s="199">
        <f>'10.Grain Production details'!D59</f>
        <v>0</v>
      </c>
      <c r="E27" s="199">
        <f>'10.Grain Production details'!E59</f>
        <v>0</v>
      </c>
      <c r="F27" s="199">
        <f>'10.Grain Production details'!F59</f>
        <v>0</v>
      </c>
      <c r="G27" s="199">
        <f>'10.Grain Production details'!G59</f>
        <v>0</v>
      </c>
      <c r="H27" s="199">
        <f>'10.Grain Production details'!H59</f>
        <v>0</v>
      </c>
    </row>
    <row r="28" spans="1:10">
      <c r="A28" s="199" t="str">
        <f>'10.Grain Production details'!A60</f>
        <v>Maize</v>
      </c>
      <c r="B28" s="199">
        <f>'10.Grain Production details'!B60</f>
        <v>2501.5500000000002</v>
      </c>
      <c r="C28" s="199">
        <f>'10.Grain Production details'!C60</f>
        <v>2751.7050000000004</v>
      </c>
      <c r="D28" s="199">
        <f>'10.Grain Production details'!D60</f>
        <v>3001.8600000000006</v>
      </c>
      <c r="E28" s="199">
        <f>'10.Grain Production details'!E60</f>
        <v>3252.0150000000008</v>
      </c>
      <c r="F28" s="199">
        <f>'10.Grain Production details'!F60</f>
        <v>3502.170000000001</v>
      </c>
      <c r="G28" s="199">
        <f>'10.Grain Production details'!G60</f>
        <v>3752.3250000000012</v>
      </c>
      <c r="H28" s="199">
        <f>'10.Grain Production details'!H60</f>
        <v>4002.4800000000018</v>
      </c>
    </row>
    <row r="29" spans="1:10">
      <c r="A29" s="199">
        <f>'10.Grain Production details'!A61</f>
        <v>0</v>
      </c>
      <c r="B29" s="199">
        <f>'10.Grain Production details'!B61</f>
        <v>0</v>
      </c>
      <c r="C29" s="199">
        <f>'10.Grain Production details'!C61</f>
        <v>0</v>
      </c>
      <c r="D29" s="199">
        <f>'10.Grain Production details'!D61</f>
        <v>0</v>
      </c>
      <c r="E29" s="199">
        <f>'10.Grain Production details'!E61</f>
        <v>0</v>
      </c>
      <c r="F29" s="199">
        <f>'10.Grain Production details'!F61</f>
        <v>0</v>
      </c>
      <c r="G29" s="199">
        <f>'10.Grain Production details'!G61</f>
        <v>0</v>
      </c>
      <c r="H29" s="199">
        <f>'10.Grain Production details'!H61</f>
        <v>0</v>
      </c>
    </row>
    <row r="30" spans="1:10">
      <c r="A30" s="199">
        <f>'10.Grain Production details'!A62</f>
        <v>0</v>
      </c>
      <c r="B30" s="199">
        <f>'10.Grain Production details'!B62</f>
        <v>0</v>
      </c>
      <c r="C30" s="199">
        <f>'10.Grain Production details'!C62</f>
        <v>0</v>
      </c>
      <c r="D30" s="199">
        <f>'10.Grain Production details'!D62</f>
        <v>0</v>
      </c>
      <c r="E30" s="199">
        <f>'10.Grain Production details'!E62</f>
        <v>0</v>
      </c>
      <c r="F30" s="199">
        <f>'10.Grain Production details'!F62</f>
        <v>0</v>
      </c>
      <c r="G30" s="199">
        <f>'10.Grain Production details'!G62</f>
        <v>0</v>
      </c>
      <c r="H30" s="199">
        <f>'10.Grain Production details'!H62</f>
        <v>0</v>
      </c>
    </row>
    <row r="31" spans="1:10">
      <c r="A31" s="199">
        <f>'10.Grain Production details'!A63</f>
        <v>0</v>
      </c>
      <c r="B31" s="199">
        <f>'10.Grain Production details'!B63</f>
        <v>0</v>
      </c>
      <c r="C31" s="199">
        <f>'10.Grain Production details'!C63</f>
        <v>0</v>
      </c>
      <c r="D31" s="199">
        <f>'10.Grain Production details'!D63</f>
        <v>0</v>
      </c>
      <c r="E31" s="199">
        <f>'10.Grain Production details'!E63</f>
        <v>0</v>
      </c>
      <c r="F31" s="199">
        <f>'10.Grain Production details'!F63</f>
        <v>0</v>
      </c>
      <c r="G31" s="199">
        <f>'10.Grain Production details'!G63</f>
        <v>0</v>
      </c>
      <c r="H31" s="199">
        <f>'10.Grain Production details'!H63</f>
        <v>0</v>
      </c>
    </row>
    <row r="32" spans="1:10">
      <c r="A32" s="199">
        <f>'10.Grain Production details'!B64</f>
        <v>0</v>
      </c>
      <c r="B32" s="199">
        <f>'10.Grain Production details'!C64</f>
        <v>0</v>
      </c>
      <c r="C32" s="199">
        <f>'10.Grain Production details'!D64</f>
        <v>0</v>
      </c>
      <c r="D32" s="199">
        <f>'10.Grain Production details'!E64</f>
        <v>0</v>
      </c>
      <c r="E32" s="199">
        <f>'10.Grain Production details'!F64</f>
        <v>0</v>
      </c>
      <c r="F32" s="199">
        <f>'10.Grain Production details'!G64</f>
        <v>0</v>
      </c>
      <c r="G32" s="199">
        <f>'10.Grain Production details'!H64</f>
        <v>0</v>
      </c>
      <c r="H32" s="199">
        <f>'10.Grain Production details'!I64</f>
        <v>0</v>
      </c>
    </row>
    <row r="33" spans="1:8">
      <c r="A33" s="95" t="s">
        <v>476</v>
      </c>
      <c r="B33" s="199">
        <f t="shared" ref="B33:H33" si="1">SUM(B11:B32)</f>
        <v>18352.057499999999</v>
      </c>
      <c r="C33" s="199">
        <f t="shared" si="1"/>
        <v>20187.263250000004</v>
      </c>
      <c r="D33" s="199">
        <f t="shared" si="1"/>
        <v>22022.469000000001</v>
      </c>
      <c r="E33" s="199">
        <f t="shared" si="1"/>
        <v>23857.674750000002</v>
      </c>
      <c r="F33" s="199">
        <f t="shared" si="1"/>
        <v>25692.880500000007</v>
      </c>
      <c r="G33" s="199">
        <f t="shared" si="1"/>
        <v>27528.086250000004</v>
      </c>
      <c r="H33" s="199">
        <f t="shared" si="1"/>
        <v>29363.292000000009</v>
      </c>
    </row>
    <row r="34" spans="1:8" hidden="1">
      <c r="A34" s="199" t="str">
        <f>'11.F&amp;V Crop Production details'!A1:H1</f>
        <v>Fruit  &amp; Vegetables Crop Production Details</v>
      </c>
      <c r="B34" s="199"/>
      <c r="C34" s="199"/>
      <c r="D34" s="199"/>
      <c r="E34" s="199"/>
      <c r="F34" s="199"/>
      <c r="G34" s="199"/>
      <c r="H34" s="199"/>
    </row>
    <row r="35" spans="1:8" hidden="1">
      <c r="A35" s="199" t="str">
        <f>'11.F&amp;V Crop Production details'!A46</f>
        <v>Onion</v>
      </c>
      <c r="B35" s="199">
        <f>'11.F&amp;V Crop Production details'!B46</f>
        <v>0</v>
      </c>
      <c r="C35" s="199">
        <f>'11.F&amp;V Crop Production details'!C46</f>
        <v>0</v>
      </c>
      <c r="D35" s="199">
        <f>'11.F&amp;V Crop Production details'!D46</f>
        <v>0</v>
      </c>
      <c r="E35" s="199">
        <f>'11.F&amp;V Crop Production details'!E46</f>
        <v>0</v>
      </c>
      <c r="F35" s="199">
        <f>'11.F&amp;V Crop Production details'!F46</f>
        <v>0</v>
      </c>
      <c r="G35" s="199">
        <f>'11.F&amp;V Crop Production details'!G46</f>
        <v>0</v>
      </c>
      <c r="H35" s="199">
        <f>'11.F&amp;V Crop Production details'!H46</f>
        <v>0</v>
      </c>
    </row>
    <row r="36" spans="1:8" hidden="1">
      <c r="A36" s="199" t="str">
        <f>'11.F&amp;V Crop Production details'!A47</f>
        <v>Tomato</v>
      </c>
      <c r="B36" s="199">
        <f>'11.F&amp;V Crop Production details'!B47</f>
        <v>0</v>
      </c>
      <c r="C36" s="199">
        <f>'11.F&amp;V Crop Production details'!C47</f>
        <v>0</v>
      </c>
      <c r="D36" s="199">
        <f>'11.F&amp;V Crop Production details'!D47</f>
        <v>0</v>
      </c>
      <c r="E36" s="199">
        <f>'11.F&amp;V Crop Production details'!E47</f>
        <v>0</v>
      </c>
      <c r="F36" s="199">
        <f>'11.F&amp;V Crop Production details'!F47</f>
        <v>0</v>
      </c>
      <c r="G36" s="199">
        <f>'11.F&amp;V Crop Production details'!G47</f>
        <v>0</v>
      </c>
      <c r="H36" s="199">
        <f>'11.F&amp;V Crop Production details'!H47</f>
        <v>0</v>
      </c>
    </row>
    <row r="37" spans="1:8" hidden="1">
      <c r="A37" s="199" t="str">
        <f>'11.F&amp;V Crop Production details'!A48</f>
        <v>Okra</v>
      </c>
      <c r="B37" s="199">
        <f>'11.F&amp;V Crop Production details'!B48</f>
        <v>0</v>
      </c>
      <c r="C37" s="199">
        <f>'11.F&amp;V Crop Production details'!C48</f>
        <v>0</v>
      </c>
      <c r="D37" s="199">
        <f>'11.F&amp;V Crop Production details'!D48</f>
        <v>0</v>
      </c>
      <c r="E37" s="199">
        <f>'11.F&amp;V Crop Production details'!E48</f>
        <v>0</v>
      </c>
      <c r="F37" s="199">
        <f>'11.F&amp;V Crop Production details'!F48</f>
        <v>0</v>
      </c>
      <c r="G37" s="199">
        <f>'11.F&amp;V Crop Production details'!G48</f>
        <v>0</v>
      </c>
      <c r="H37" s="199">
        <f>'11.F&amp;V Crop Production details'!H48</f>
        <v>0</v>
      </c>
    </row>
    <row r="38" spans="1:8" hidden="1">
      <c r="A38" s="199" t="str">
        <f>'11.F&amp;V Crop Production details'!A49</f>
        <v>Chilli</v>
      </c>
      <c r="B38" s="199">
        <f>'11.F&amp;V Crop Production details'!B49</f>
        <v>0</v>
      </c>
      <c r="C38" s="199">
        <f>'11.F&amp;V Crop Production details'!C49</f>
        <v>0</v>
      </c>
      <c r="D38" s="199">
        <f>'11.F&amp;V Crop Production details'!D49</f>
        <v>0</v>
      </c>
      <c r="E38" s="199">
        <f>'11.F&amp;V Crop Production details'!E49</f>
        <v>0</v>
      </c>
      <c r="F38" s="199">
        <f>'11.F&amp;V Crop Production details'!F49</f>
        <v>0</v>
      </c>
      <c r="G38" s="199">
        <f>'11.F&amp;V Crop Production details'!G49</f>
        <v>0</v>
      </c>
      <c r="H38" s="199">
        <f>'11.F&amp;V Crop Production details'!H49</f>
        <v>0</v>
      </c>
    </row>
    <row r="39" spans="1:8" hidden="1">
      <c r="A39" s="199" t="str">
        <f>'11.F&amp;V Crop Production details'!A50</f>
        <v>Potato</v>
      </c>
      <c r="B39" s="199">
        <f>'11.F&amp;V Crop Production details'!B50</f>
        <v>0</v>
      </c>
      <c r="C39" s="199">
        <f>'11.F&amp;V Crop Production details'!C50</f>
        <v>0</v>
      </c>
      <c r="D39" s="199">
        <f>'11.F&amp;V Crop Production details'!D50</f>
        <v>0</v>
      </c>
      <c r="E39" s="199">
        <f>'11.F&amp;V Crop Production details'!E50</f>
        <v>0</v>
      </c>
      <c r="F39" s="199">
        <f>'11.F&amp;V Crop Production details'!F50</f>
        <v>0</v>
      </c>
      <c r="G39" s="199">
        <f>'11.F&amp;V Crop Production details'!G50</f>
        <v>0</v>
      </c>
      <c r="H39" s="199">
        <f>'11.F&amp;V Crop Production details'!H50</f>
        <v>0</v>
      </c>
    </row>
    <row r="40" spans="1:8" hidden="1">
      <c r="A40" s="199">
        <f>'11.F&amp;V Crop Production details'!A51</f>
        <v>0</v>
      </c>
      <c r="B40" s="199">
        <f>'11.F&amp;V Crop Production details'!B51</f>
        <v>0</v>
      </c>
      <c r="C40" s="199">
        <f>'11.F&amp;V Crop Production details'!C51</f>
        <v>0</v>
      </c>
      <c r="D40" s="199">
        <f>'11.F&amp;V Crop Production details'!D51</f>
        <v>0</v>
      </c>
      <c r="E40" s="199">
        <f>'11.F&amp;V Crop Production details'!E51</f>
        <v>0</v>
      </c>
      <c r="F40" s="199">
        <f>'11.F&amp;V Crop Production details'!F51</f>
        <v>0</v>
      </c>
      <c r="G40" s="199">
        <f>'11.F&amp;V Crop Production details'!G51</f>
        <v>0</v>
      </c>
      <c r="H40" s="199">
        <f>'11.F&amp;V Crop Production details'!H51</f>
        <v>0</v>
      </c>
    </row>
    <row r="41" spans="1:8" hidden="1">
      <c r="A41" s="199">
        <f>'11.F&amp;V Crop Production details'!A52</f>
        <v>0</v>
      </c>
      <c r="B41" s="199">
        <f>'11.F&amp;V Crop Production details'!B52</f>
        <v>0</v>
      </c>
      <c r="C41" s="199">
        <f>'11.F&amp;V Crop Production details'!C52</f>
        <v>0</v>
      </c>
      <c r="D41" s="199">
        <f>'11.F&amp;V Crop Production details'!D52</f>
        <v>0</v>
      </c>
      <c r="E41" s="199">
        <f>'11.F&amp;V Crop Production details'!E52</f>
        <v>0</v>
      </c>
      <c r="F41" s="199">
        <f>'11.F&amp;V Crop Production details'!F52</f>
        <v>0</v>
      </c>
      <c r="G41" s="199">
        <f>'11.F&amp;V Crop Production details'!G52</f>
        <v>0</v>
      </c>
      <c r="H41" s="199">
        <f>'11.F&amp;V Crop Production details'!H52</f>
        <v>0</v>
      </c>
    </row>
    <row r="42" spans="1:8" hidden="1">
      <c r="A42" s="199">
        <f>'11.F&amp;V Crop Production details'!A53</f>
        <v>0</v>
      </c>
      <c r="B42" s="199">
        <f>'11.F&amp;V Crop Production details'!B53</f>
        <v>0</v>
      </c>
      <c r="C42" s="199">
        <f>'11.F&amp;V Crop Production details'!C53</f>
        <v>0</v>
      </c>
      <c r="D42" s="199">
        <f>'11.F&amp;V Crop Production details'!D53</f>
        <v>0</v>
      </c>
      <c r="E42" s="199">
        <f>'11.F&amp;V Crop Production details'!E53</f>
        <v>0</v>
      </c>
      <c r="F42" s="199">
        <f>'11.F&amp;V Crop Production details'!F53</f>
        <v>0</v>
      </c>
      <c r="G42" s="199">
        <f>'11.F&amp;V Crop Production details'!G53</f>
        <v>0</v>
      </c>
      <c r="H42" s="199">
        <f>'11.F&amp;V Crop Production details'!H53</f>
        <v>0</v>
      </c>
    </row>
    <row r="43" spans="1:8" hidden="1">
      <c r="A43" s="199">
        <f>'11.F&amp;V Crop Production details'!A54</f>
        <v>0</v>
      </c>
      <c r="B43" s="199">
        <f>'11.F&amp;V Crop Production details'!B54</f>
        <v>0</v>
      </c>
      <c r="C43" s="199">
        <f>'11.F&amp;V Crop Production details'!C54</f>
        <v>0</v>
      </c>
      <c r="D43" s="199">
        <f>'11.F&amp;V Crop Production details'!D54</f>
        <v>0</v>
      </c>
      <c r="E43" s="199">
        <f>'11.F&amp;V Crop Production details'!E54</f>
        <v>0</v>
      </c>
      <c r="F43" s="199">
        <f>'11.F&amp;V Crop Production details'!F54</f>
        <v>0</v>
      </c>
      <c r="G43" s="199">
        <f>'11.F&amp;V Crop Production details'!G54</f>
        <v>0</v>
      </c>
      <c r="H43" s="199">
        <f>'11.F&amp;V Crop Production details'!H54</f>
        <v>0</v>
      </c>
    </row>
    <row r="44" spans="1:8" hidden="1">
      <c r="A44" s="199" t="str">
        <f>'11.F&amp;V Crop Production details'!A55</f>
        <v>Onion</v>
      </c>
      <c r="B44" s="199">
        <f>'11.F&amp;V Crop Production details'!B55</f>
        <v>0</v>
      </c>
      <c r="C44" s="199">
        <f>'11.F&amp;V Crop Production details'!C55</f>
        <v>0</v>
      </c>
      <c r="D44" s="199">
        <f>'11.F&amp;V Crop Production details'!D55</f>
        <v>0</v>
      </c>
      <c r="E44" s="199">
        <f>'11.F&amp;V Crop Production details'!E55</f>
        <v>0</v>
      </c>
      <c r="F44" s="199">
        <f>'11.F&amp;V Crop Production details'!F55</f>
        <v>0</v>
      </c>
      <c r="G44" s="199">
        <f>'11.F&amp;V Crop Production details'!G55</f>
        <v>0</v>
      </c>
      <c r="H44" s="199">
        <f>'11.F&amp;V Crop Production details'!H55</f>
        <v>0</v>
      </c>
    </row>
    <row r="45" spans="1:8" hidden="1">
      <c r="A45" s="199" t="str">
        <f>'11.F&amp;V Crop Production details'!A56</f>
        <v>Tomato</v>
      </c>
      <c r="B45" s="199">
        <f>'11.F&amp;V Crop Production details'!B56</f>
        <v>0</v>
      </c>
      <c r="C45" s="199">
        <f>'11.F&amp;V Crop Production details'!C56</f>
        <v>0</v>
      </c>
      <c r="D45" s="199">
        <f>'11.F&amp;V Crop Production details'!D56</f>
        <v>0</v>
      </c>
      <c r="E45" s="199">
        <f>'11.F&amp;V Crop Production details'!E56</f>
        <v>0</v>
      </c>
      <c r="F45" s="199">
        <f>'11.F&amp;V Crop Production details'!F56</f>
        <v>0</v>
      </c>
      <c r="G45" s="199">
        <f>'11.F&amp;V Crop Production details'!G56</f>
        <v>0</v>
      </c>
      <c r="H45" s="199">
        <f>'11.F&amp;V Crop Production details'!H56</f>
        <v>0</v>
      </c>
    </row>
    <row r="46" spans="1:8" hidden="1">
      <c r="A46" s="199" t="str">
        <f>'11.F&amp;V Crop Production details'!A57</f>
        <v>Okra</v>
      </c>
      <c r="B46" s="199">
        <f>'11.F&amp;V Crop Production details'!B57</f>
        <v>0</v>
      </c>
      <c r="C46" s="199">
        <f>'11.F&amp;V Crop Production details'!C57</f>
        <v>0</v>
      </c>
      <c r="D46" s="199">
        <f>'11.F&amp;V Crop Production details'!D57</f>
        <v>0</v>
      </c>
      <c r="E46" s="199">
        <f>'11.F&amp;V Crop Production details'!E57</f>
        <v>0</v>
      </c>
      <c r="F46" s="199">
        <f>'11.F&amp;V Crop Production details'!F57</f>
        <v>0</v>
      </c>
      <c r="G46" s="199">
        <f>'11.F&amp;V Crop Production details'!G57</f>
        <v>0</v>
      </c>
      <c r="H46" s="199">
        <f>'11.F&amp;V Crop Production details'!H57</f>
        <v>0</v>
      </c>
    </row>
    <row r="47" spans="1:8" hidden="1">
      <c r="A47" s="199" t="str">
        <f>'11.F&amp;V Crop Production details'!A58</f>
        <v>Chilli</v>
      </c>
      <c r="B47" s="199">
        <f>'11.F&amp;V Crop Production details'!B58</f>
        <v>0</v>
      </c>
      <c r="C47" s="199">
        <f>'11.F&amp;V Crop Production details'!C58</f>
        <v>0</v>
      </c>
      <c r="D47" s="199">
        <f>'11.F&amp;V Crop Production details'!D58</f>
        <v>0</v>
      </c>
      <c r="E47" s="199">
        <f>'11.F&amp;V Crop Production details'!E58</f>
        <v>0</v>
      </c>
      <c r="F47" s="199">
        <f>'11.F&amp;V Crop Production details'!F58</f>
        <v>0</v>
      </c>
      <c r="G47" s="199">
        <f>'11.F&amp;V Crop Production details'!G58</f>
        <v>0</v>
      </c>
      <c r="H47" s="199">
        <f>'11.F&amp;V Crop Production details'!H58</f>
        <v>0</v>
      </c>
    </row>
    <row r="48" spans="1:8" hidden="1">
      <c r="A48" s="199" t="str">
        <f>'11.F&amp;V Crop Production details'!A59</f>
        <v>Brinjal</v>
      </c>
      <c r="B48" s="199">
        <f>'11.F&amp;V Crop Production details'!B59</f>
        <v>0</v>
      </c>
      <c r="C48" s="199">
        <f>'11.F&amp;V Crop Production details'!C59</f>
        <v>0</v>
      </c>
      <c r="D48" s="199">
        <f>'11.F&amp;V Crop Production details'!D59</f>
        <v>0</v>
      </c>
      <c r="E48" s="199">
        <f>'11.F&amp;V Crop Production details'!E59</f>
        <v>0</v>
      </c>
      <c r="F48" s="199">
        <f>'11.F&amp;V Crop Production details'!F59</f>
        <v>0</v>
      </c>
      <c r="G48" s="199">
        <f>'11.F&amp;V Crop Production details'!G59</f>
        <v>0</v>
      </c>
      <c r="H48" s="199">
        <f>'11.F&amp;V Crop Production details'!H59</f>
        <v>0</v>
      </c>
    </row>
    <row r="49" spans="1:8" hidden="1">
      <c r="A49" s="199">
        <f>'11.F&amp;V Crop Production details'!A60</f>
        <v>0</v>
      </c>
      <c r="B49" s="199">
        <f>'11.F&amp;V Crop Production details'!B60</f>
        <v>0</v>
      </c>
      <c r="C49" s="199">
        <f>'11.F&amp;V Crop Production details'!C60</f>
        <v>0</v>
      </c>
      <c r="D49" s="199">
        <f>'11.F&amp;V Crop Production details'!D60</f>
        <v>0</v>
      </c>
      <c r="E49" s="199">
        <f>'11.F&amp;V Crop Production details'!E60</f>
        <v>0</v>
      </c>
      <c r="F49" s="199">
        <f>'11.F&amp;V Crop Production details'!F60</f>
        <v>0</v>
      </c>
      <c r="G49" s="199">
        <f>'11.F&amp;V Crop Production details'!G60</f>
        <v>0</v>
      </c>
      <c r="H49" s="199">
        <f>'11.F&amp;V Crop Production details'!H60</f>
        <v>0</v>
      </c>
    </row>
    <row r="50" spans="1:8" hidden="1">
      <c r="A50" s="199">
        <f>'11.F&amp;V Crop Production details'!A61</f>
        <v>0</v>
      </c>
      <c r="B50" s="199">
        <f>'11.F&amp;V Crop Production details'!B61</f>
        <v>0</v>
      </c>
      <c r="C50" s="199">
        <f>'11.F&amp;V Crop Production details'!C61</f>
        <v>0</v>
      </c>
      <c r="D50" s="199">
        <f>'11.F&amp;V Crop Production details'!D61</f>
        <v>0</v>
      </c>
      <c r="E50" s="199">
        <f>'11.F&amp;V Crop Production details'!E61</f>
        <v>0</v>
      </c>
      <c r="F50" s="199">
        <f>'11.F&amp;V Crop Production details'!F61</f>
        <v>0</v>
      </c>
      <c r="G50" s="199">
        <f>'11.F&amp;V Crop Production details'!G61</f>
        <v>0</v>
      </c>
      <c r="H50" s="199">
        <f>'11.F&amp;V Crop Production details'!H61</f>
        <v>0</v>
      </c>
    </row>
    <row r="51" spans="1:8" hidden="1">
      <c r="A51" s="199">
        <f>'11.F&amp;V Crop Production details'!A62</f>
        <v>0</v>
      </c>
      <c r="B51" s="199">
        <f>'11.F&amp;V Crop Production details'!B62</f>
        <v>0</v>
      </c>
      <c r="C51" s="199">
        <f>'11.F&amp;V Crop Production details'!C62</f>
        <v>0</v>
      </c>
      <c r="D51" s="199">
        <f>'11.F&amp;V Crop Production details'!D62</f>
        <v>0</v>
      </c>
      <c r="E51" s="199">
        <f>'11.F&amp;V Crop Production details'!E62</f>
        <v>0</v>
      </c>
      <c r="F51" s="199">
        <f>'11.F&amp;V Crop Production details'!F62</f>
        <v>0</v>
      </c>
      <c r="G51" s="199">
        <f>'11.F&amp;V Crop Production details'!G62</f>
        <v>0</v>
      </c>
      <c r="H51" s="199">
        <f>'11.F&amp;V Crop Production details'!H62</f>
        <v>0</v>
      </c>
    </row>
    <row r="52" spans="1:8" hidden="1">
      <c r="A52" s="199">
        <f>'11.F&amp;V Crop Production details'!A63</f>
        <v>0</v>
      </c>
      <c r="B52" s="199">
        <f>'11.F&amp;V Crop Production details'!B63</f>
        <v>0</v>
      </c>
      <c r="C52" s="199">
        <f>'11.F&amp;V Crop Production details'!C63</f>
        <v>0</v>
      </c>
      <c r="D52" s="199">
        <f>'11.F&amp;V Crop Production details'!D63</f>
        <v>0</v>
      </c>
      <c r="E52" s="199">
        <f>'11.F&amp;V Crop Production details'!E63</f>
        <v>0</v>
      </c>
      <c r="F52" s="199">
        <f>'11.F&amp;V Crop Production details'!F63</f>
        <v>0</v>
      </c>
      <c r="G52" s="199">
        <f>'11.F&amp;V Crop Production details'!G63</f>
        <v>0</v>
      </c>
      <c r="H52" s="199">
        <f>'11.F&amp;V Crop Production details'!H63</f>
        <v>0</v>
      </c>
    </row>
    <row r="53" spans="1:8" hidden="1">
      <c r="A53" s="199">
        <f>'11.F&amp;V Crop Production details'!A64</f>
        <v>0</v>
      </c>
      <c r="B53" s="199"/>
      <c r="C53" s="199"/>
      <c r="D53" s="199"/>
      <c r="E53" s="199"/>
      <c r="F53" s="199"/>
      <c r="G53" s="199"/>
      <c r="H53" s="199"/>
    </row>
    <row r="54" spans="1:8" hidden="1">
      <c r="A54" s="199">
        <f>'11.F&amp;V Crop Production details'!A65</f>
        <v>0</v>
      </c>
      <c r="B54" s="199"/>
      <c r="C54" s="199"/>
      <c r="D54" s="199"/>
      <c r="E54" s="199"/>
      <c r="F54" s="199"/>
      <c r="G54" s="199"/>
      <c r="H54" s="199"/>
    </row>
    <row r="55" spans="1:8" hidden="1">
      <c r="A55" s="199">
        <f>'11.F&amp;V Crop Production details'!A66</f>
        <v>0</v>
      </c>
      <c r="B55" s="199"/>
      <c r="C55" s="199"/>
      <c r="D55" s="199"/>
      <c r="E55" s="199"/>
      <c r="F55" s="199"/>
      <c r="G55" s="199"/>
      <c r="H55" s="199"/>
    </row>
    <row r="56" spans="1:8" hidden="1">
      <c r="A56" s="199" t="str">
        <f>'11.F&amp;V Crop Production details'!A67</f>
        <v>Pomegranate</v>
      </c>
      <c r="B56" s="199">
        <f>'11.F&amp;V Crop Production details'!B67</f>
        <v>0</v>
      </c>
      <c r="C56" s="199">
        <f>'11.F&amp;V Crop Production details'!C67</f>
        <v>0</v>
      </c>
      <c r="D56" s="199">
        <f>'11.F&amp;V Crop Production details'!D67</f>
        <v>0</v>
      </c>
      <c r="E56" s="199">
        <f>'11.F&amp;V Crop Production details'!E67</f>
        <v>0</v>
      </c>
      <c r="F56" s="199">
        <f>'11.F&amp;V Crop Production details'!F67</f>
        <v>0</v>
      </c>
      <c r="G56" s="199">
        <f>'11.F&amp;V Crop Production details'!G67</f>
        <v>0</v>
      </c>
      <c r="H56" s="199">
        <f>'11.F&amp;V Crop Production details'!H67</f>
        <v>0</v>
      </c>
    </row>
    <row r="57" spans="1:8" hidden="1">
      <c r="A57" s="199" t="str">
        <f>'11.F&amp;V Crop Production details'!A68</f>
        <v>Custard Apple</v>
      </c>
      <c r="B57" s="199">
        <f>'11.F&amp;V Crop Production details'!B68</f>
        <v>0</v>
      </c>
      <c r="C57" s="199">
        <f>'11.F&amp;V Crop Production details'!C68</f>
        <v>0</v>
      </c>
      <c r="D57" s="199">
        <f>'11.F&amp;V Crop Production details'!D68</f>
        <v>0</v>
      </c>
      <c r="E57" s="199">
        <f>'11.F&amp;V Crop Production details'!E68</f>
        <v>0</v>
      </c>
      <c r="F57" s="199">
        <f>'11.F&amp;V Crop Production details'!F68</f>
        <v>0</v>
      </c>
      <c r="G57" s="199">
        <f>'11.F&amp;V Crop Production details'!G68</f>
        <v>0</v>
      </c>
      <c r="H57" s="199">
        <f>'11.F&amp;V Crop Production details'!H68</f>
        <v>0</v>
      </c>
    </row>
    <row r="58" spans="1:8" hidden="1">
      <c r="A58" s="199" t="str">
        <f>'11.F&amp;V Crop Production details'!A69</f>
        <v>Guava</v>
      </c>
      <c r="B58" s="199">
        <f>'11.F&amp;V Crop Production details'!B69</f>
        <v>0</v>
      </c>
      <c r="C58" s="199">
        <f>'11.F&amp;V Crop Production details'!C69</f>
        <v>0</v>
      </c>
      <c r="D58" s="199">
        <f>'11.F&amp;V Crop Production details'!D69</f>
        <v>0</v>
      </c>
      <c r="E58" s="199">
        <f>'11.F&amp;V Crop Production details'!E69</f>
        <v>0</v>
      </c>
      <c r="F58" s="199">
        <f>'11.F&amp;V Crop Production details'!F69</f>
        <v>0</v>
      </c>
      <c r="G58" s="199">
        <f>'11.F&amp;V Crop Production details'!G69</f>
        <v>0</v>
      </c>
      <c r="H58" s="199">
        <f>'11.F&amp;V Crop Production details'!H69</f>
        <v>0</v>
      </c>
    </row>
    <row r="59" spans="1:8" hidden="1">
      <c r="A59" s="199" t="str">
        <f>'11.F&amp;V Crop Production details'!A70</f>
        <v>Citrus</v>
      </c>
      <c r="B59" s="199">
        <f>'11.F&amp;V Crop Production details'!B70</f>
        <v>0</v>
      </c>
      <c r="C59" s="199">
        <f>'11.F&amp;V Crop Production details'!C70</f>
        <v>0</v>
      </c>
      <c r="D59" s="199">
        <f>'11.F&amp;V Crop Production details'!D70</f>
        <v>0</v>
      </c>
      <c r="E59" s="199">
        <f>'11.F&amp;V Crop Production details'!E70</f>
        <v>0</v>
      </c>
      <c r="F59" s="199">
        <f>'11.F&amp;V Crop Production details'!F70</f>
        <v>0</v>
      </c>
      <c r="G59" s="199">
        <f>'11.F&amp;V Crop Production details'!G70</f>
        <v>0</v>
      </c>
      <c r="H59" s="199">
        <f>'11.F&amp;V Crop Production details'!H70</f>
        <v>0</v>
      </c>
    </row>
    <row r="60" spans="1:8">
      <c r="A60" s="199"/>
      <c r="B60" s="199"/>
      <c r="C60" s="199"/>
      <c r="D60" s="199"/>
      <c r="E60" s="199"/>
      <c r="F60" s="199"/>
      <c r="G60" s="199"/>
      <c r="H60" s="199"/>
    </row>
    <row r="61" spans="1:8">
      <c r="A61" s="95" t="s">
        <v>475</v>
      </c>
      <c r="B61" s="199">
        <f t="shared" ref="B61:H61" si="2">SUM(B35:B59)</f>
        <v>0</v>
      </c>
      <c r="C61" s="199">
        <f t="shared" si="2"/>
        <v>0</v>
      </c>
      <c r="D61" s="199">
        <f t="shared" si="2"/>
        <v>0</v>
      </c>
      <c r="E61" s="199">
        <f t="shared" si="2"/>
        <v>0</v>
      </c>
      <c r="F61" s="199">
        <f t="shared" si="2"/>
        <v>0</v>
      </c>
      <c r="G61" s="199">
        <f t="shared" si="2"/>
        <v>0</v>
      </c>
      <c r="H61" s="199">
        <f t="shared" si="2"/>
        <v>0</v>
      </c>
    </row>
    <row r="62" spans="1:8">
      <c r="A62" s="273" t="s">
        <v>477</v>
      </c>
      <c r="B62" s="288">
        <v>0.05</v>
      </c>
      <c r="C62" s="288">
        <v>0.05</v>
      </c>
      <c r="D62" s="288">
        <v>0.05</v>
      </c>
      <c r="E62" s="288">
        <v>0.05</v>
      </c>
      <c r="F62" s="288">
        <v>0.05</v>
      </c>
      <c r="G62" s="288">
        <v>0.05</v>
      </c>
      <c r="H62" s="288">
        <v>0.05</v>
      </c>
    </row>
    <row r="63" spans="1:8">
      <c r="A63" s="273" t="s">
        <v>478</v>
      </c>
      <c r="B63" s="288">
        <f>1-B62</f>
        <v>0.95</v>
      </c>
      <c r="C63" s="288">
        <f>1-C62</f>
        <v>0.95</v>
      </c>
      <c r="D63" s="288">
        <f t="shared" ref="D63:H63" si="3">1-D62</f>
        <v>0.95</v>
      </c>
      <c r="E63" s="288">
        <f t="shared" si="3"/>
        <v>0.95</v>
      </c>
      <c r="F63" s="288">
        <f t="shared" si="3"/>
        <v>0.95</v>
      </c>
      <c r="G63" s="288">
        <f t="shared" si="3"/>
        <v>0.95</v>
      </c>
      <c r="H63" s="288">
        <f t="shared" si="3"/>
        <v>0.95</v>
      </c>
    </row>
    <row r="64" spans="1:8">
      <c r="A64" s="273"/>
      <c r="B64" s="288"/>
      <c r="C64" s="288"/>
      <c r="D64" s="288"/>
      <c r="E64" s="288"/>
      <c r="F64" s="288"/>
      <c r="G64" s="288"/>
      <c r="H64" s="288"/>
    </row>
    <row r="65" spans="1:8">
      <c r="A65" s="273" t="s">
        <v>655</v>
      </c>
      <c r="B65" s="381">
        <f>B33*B62</f>
        <v>917.60287500000004</v>
      </c>
      <c r="C65" s="274">
        <f t="shared" ref="C65:H65" si="4">C33*C62</f>
        <v>1009.3631625000003</v>
      </c>
      <c r="D65" s="274">
        <f t="shared" si="4"/>
        <v>1101.12345</v>
      </c>
      <c r="E65" s="274">
        <f t="shared" si="4"/>
        <v>1192.8837375000001</v>
      </c>
      <c r="F65" s="274">
        <f t="shared" si="4"/>
        <v>1284.6440250000005</v>
      </c>
      <c r="G65" s="274">
        <f t="shared" si="4"/>
        <v>1376.4043125000003</v>
      </c>
      <c r="H65" s="274">
        <f t="shared" si="4"/>
        <v>1468.1646000000005</v>
      </c>
    </row>
    <row r="66" spans="1:8">
      <c r="A66" s="95"/>
      <c r="B66" s="199"/>
      <c r="C66" s="199"/>
      <c r="D66" s="199"/>
      <c r="E66" s="199"/>
      <c r="F66" s="199"/>
      <c r="G66" s="199"/>
      <c r="H66" s="199"/>
    </row>
    <row r="67" spans="1:8">
      <c r="A67" s="95" t="s">
        <v>654</v>
      </c>
      <c r="B67" s="199"/>
      <c r="C67" s="199"/>
      <c r="D67" s="199"/>
      <c r="E67" s="199"/>
      <c r="F67" s="199"/>
      <c r="G67" s="199"/>
      <c r="H67" s="199"/>
    </row>
    <row r="68" spans="1:8">
      <c r="A68" s="93" t="str">
        <f t="shared" ref="A68:A89" si="5">A11</f>
        <v>Soybean</v>
      </c>
      <c r="B68" s="286">
        <f t="shared" ref="B68:B89" si="6">B11*$B$63</f>
        <v>0</v>
      </c>
      <c r="C68" s="286">
        <f t="shared" ref="C68:C83" si="7">C11*$C$63</f>
        <v>0</v>
      </c>
      <c r="D68" s="286">
        <f t="shared" ref="D68:D83" si="8">D11*$D$63</f>
        <v>0</v>
      </c>
      <c r="E68" s="286">
        <f t="shared" ref="E68:E83" si="9">E11*$E$63</f>
        <v>0</v>
      </c>
      <c r="F68" s="286">
        <f t="shared" ref="F68:F83" si="10">F11*$F$63</f>
        <v>0</v>
      </c>
      <c r="G68" s="286">
        <f t="shared" ref="G68:G83" si="11">G11*$G$63</f>
        <v>0</v>
      </c>
      <c r="H68" s="286">
        <f t="shared" ref="H68:H83" si="12">H11*$H$63</f>
        <v>0</v>
      </c>
    </row>
    <row r="69" spans="1:8">
      <c r="A69" s="93" t="str">
        <f t="shared" si="5"/>
        <v>Red Gram/Tur</v>
      </c>
      <c r="B69" s="380">
        <f>B12*$B$63</f>
        <v>442.67624999999998</v>
      </c>
      <c r="C69" s="286">
        <f t="shared" si="7"/>
        <v>486.94387500000005</v>
      </c>
      <c r="D69" s="286">
        <f t="shared" si="8"/>
        <v>531.21150000000011</v>
      </c>
      <c r="E69" s="286">
        <f t="shared" si="9"/>
        <v>575.47912500000018</v>
      </c>
      <c r="F69" s="286">
        <f t="shared" si="10"/>
        <v>619.74675000000025</v>
      </c>
      <c r="G69" s="286">
        <f t="shared" si="11"/>
        <v>664.01437500000043</v>
      </c>
      <c r="H69" s="286">
        <f t="shared" si="12"/>
        <v>708.28200000000049</v>
      </c>
    </row>
    <row r="70" spans="1:8">
      <c r="A70" s="93" t="str">
        <f t="shared" si="5"/>
        <v>Paddy/Rice</v>
      </c>
      <c r="B70" s="286">
        <f t="shared" si="6"/>
        <v>0</v>
      </c>
      <c r="C70" s="286">
        <f t="shared" si="7"/>
        <v>0</v>
      </c>
      <c r="D70" s="286">
        <f t="shared" si="8"/>
        <v>0</v>
      </c>
      <c r="E70" s="286">
        <f t="shared" si="9"/>
        <v>0</v>
      </c>
      <c r="F70" s="286">
        <f t="shared" si="10"/>
        <v>0</v>
      </c>
      <c r="G70" s="286">
        <f t="shared" si="11"/>
        <v>0</v>
      </c>
      <c r="H70" s="286">
        <f t="shared" si="12"/>
        <v>0</v>
      </c>
    </row>
    <row r="71" spans="1:8">
      <c r="A71" s="93" t="str">
        <f t="shared" si="5"/>
        <v>Green Gram/ Moong</v>
      </c>
      <c r="B71" s="286">
        <f t="shared" si="6"/>
        <v>0</v>
      </c>
      <c r="C71" s="286">
        <f t="shared" si="7"/>
        <v>0</v>
      </c>
      <c r="D71" s="286">
        <f t="shared" si="8"/>
        <v>0</v>
      </c>
      <c r="E71" s="286">
        <f t="shared" si="9"/>
        <v>0</v>
      </c>
      <c r="F71" s="286">
        <f t="shared" si="10"/>
        <v>0</v>
      </c>
      <c r="G71" s="286">
        <f t="shared" si="11"/>
        <v>0</v>
      </c>
      <c r="H71" s="286">
        <f t="shared" si="12"/>
        <v>0</v>
      </c>
    </row>
    <row r="72" spans="1:8">
      <c r="A72" s="93" t="str">
        <f t="shared" si="5"/>
        <v>Maize</v>
      </c>
      <c r="B72" s="286">
        <f t="shared" si="6"/>
        <v>3696.7350000000001</v>
      </c>
      <c r="C72" s="286">
        <f t="shared" si="7"/>
        <v>4066.4085</v>
      </c>
      <c r="D72" s="286">
        <f t="shared" si="8"/>
        <v>4436.0820000000003</v>
      </c>
      <c r="E72" s="286">
        <f t="shared" si="9"/>
        <v>4805.7555000000002</v>
      </c>
      <c r="F72" s="286">
        <f t="shared" si="10"/>
        <v>5175.4290000000001</v>
      </c>
      <c r="G72" s="286">
        <f t="shared" si="11"/>
        <v>5545.1025000000009</v>
      </c>
      <c r="H72" s="286">
        <f t="shared" si="12"/>
        <v>5914.7760000000007</v>
      </c>
    </row>
    <row r="73" spans="1:8">
      <c r="A73" s="93" t="str">
        <f t="shared" si="5"/>
        <v>Black Gram/Udid</v>
      </c>
      <c r="B73" s="286">
        <f t="shared" si="6"/>
        <v>0</v>
      </c>
      <c r="C73" s="286">
        <f t="shared" si="7"/>
        <v>0</v>
      </c>
      <c r="D73" s="286">
        <f t="shared" si="8"/>
        <v>0</v>
      </c>
      <c r="E73" s="286">
        <f t="shared" si="9"/>
        <v>0</v>
      </c>
      <c r="F73" s="286">
        <f t="shared" si="10"/>
        <v>0</v>
      </c>
      <c r="G73" s="286">
        <f t="shared" si="11"/>
        <v>0</v>
      </c>
      <c r="H73" s="286">
        <f t="shared" si="12"/>
        <v>0</v>
      </c>
    </row>
    <row r="74" spans="1:8">
      <c r="A74" s="93" t="str">
        <f t="shared" si="5"/>
        <v>Bajra</v>
      </c>
      <c r="B74" s="286">
        <f t="shared" si="6"/>
        <v>0</v>
      </c>
      <c r="C74" s="286">
        <f t="shared" si="7"/>
        <v>0</v>
      </c>
      <c r="D74" s="286">
        <f t="shared" si="8"/>
        <v>0</v>
      </c>
      <c r="E74" s="286">
        <f t="shared" si="9"/>
        <v>0</v>
      </c>
      <c r="F74" s="286">
        <f t="shared" si="10"/>
        <v>0</v>
      </c>
      <c r="G74" s="286">
        <f t="shared" si="11"/>
        <v>0</v>
      </c>
      <c r="H74" s="286">
        <f t="shared" si="12"/>
        <v>0</v>
      </c>
    </row>
    <row r="75" spans="1:8">
      <c r="A75" s="93" t="str">
        <f t="shared" si="5"/>
        <v>Jawar</v>
      </c>
      <c r="B75" s="286">
        <f t="shared" si="6"/>
        <v>0</v>
      </c>
      <c r="C75" s="286">
        <f t="shared" si="7"/>
        <v>0</v>
      </c>
      <c r="D75" s="286">
        <f t="shared" si="8"/>
        <v>0</v>
      </c>
      <c r="E75" s="286">
        <f t="shared" si="9"/>
        <v>0</v>
      </c>
      <c r="F75" s="286">
        <f t="shared" si="10"/>
        <v>0</v>
      </c>
      <c r="G75" s="286">
        <f t="shared" si="11"/>
        <v>0</v>
      </c>
      <c r="H75" s="286">
        <f t="shared" si="12"/>
        <v>0</v>
      </c>
    </row>
    <row r="76" spans="1:8">
      <c r="A76" s="93" t="str">
        <f t="shared" si="5"/>
        <v>Sunflower</v>
      </c>
      <c r="B76" s="286">
        <f t="shared" si="6"/>
        <v>0</v>
      </c>
      <c r="C76" s="286">
        <f t="shared" si="7"/>
        <v>0</v>
      </c>
      <c r="D76" s="286">
        <f t="shared" si="8"/>
        <v>0</v>
      </c>
      <c r="E76" s="286">
        <f t="shared" si="9"/>
        <v>0</v>
      </c>
      <c r="F76" s="286">
        <f t="shared" si="10"/>
        <v>0</v>
      </c>
      <c r="G76" s="286">
        <f t="shared" si="11"/>
        <v>0</v>
      </c>
      <c r="H76" s="286">
        <f t="shared" si="12"/>
        <v>0</v>
      </c>
    </row>
    <row r="77" spans="1:8">
      <c r="A77" s="93" t="str">
        <f t="shared" si="5"/>
        <v>Wheat</v>
      </c>
      <c r="B77" s="286">
        <f t="shared" si="6"/>
        <v>0</v>
      </c>
      <c r="C77" s="286">
        <f t="shared" si="7"/>
        <v>0</v>
      </c>
      <c r="D77" s="286">
        <f t="shared" si="8"/>
        <v>0</v>
      </c>
      <c r="E77" s="286">
        <f t="shared" si="9"/>
        <v>0</v>
      </c>
      <c r="F77" s="286">
        <f t="shared" si="10"/>
        <v>0</v>
      </c>
      <c r="G77" s="286">
        <f t="shared" si="11"/>
        <v>0</v>
      </c>
      <c r="H77" s="286">
        <f t="shared" si="12"/>
        <v>0</v>
      </c>
    </row>
    <row r="78" spans="1:8">
      <c r="A78" s="93" t="str">
        <f t="shared" si="5"/>
        <v>Bengal Gram/Channa</v>
      </c>
      <c r="B78" s="286">
        <f t="shared" si="6"/>
        <v>1940.7858749999998</v>
      </c>
      <c r="C78" s="286">
        <f t="shared" si="7"/>
        <v>2134.8644625000002</v>
      </c>
      <c r="D78" s="286">
        <f t="shared" si="8"/>
        <v>2328.9430500000003</v>
      </c>
      <c r="E78" s="286">
        <f t="shared" si="9"/>
        <v>2523.0216375000005</v>
      </c>
      <c r="F78" s="286">
        <f t="shared" si="10"/>
        <v>2717.1002250000006</v>
      </c>
      <c r="G78" s="286">
        <f t="shared" si="11"/>
        <v>2911.1788125000007</v>
      </c>
      <c r="H78" s="286">
        <f t="shared" si="12"/>
        <v>3105.2574000000009</v>
      </c>
    </row>
    <row r="79" spans="1:8">
      <c r="A79" s="93" t="str">
        <f t="shared" si="5"/>
        <v>Jawar</v>
      </c>
      <c r="B79" s="380">
        <f>B22*$B$63</f>
        <v>8977.784999999998</v>
      </c>
      <c r="C79" s="286">
        <f t="shared" si="7"/>
        <v>9875.5635000000002</v>
      </c>
      <c r="D79" s="286">
        <f t="shared" si="8"/>
        <v>10773.342000000001</v>
      </c>
      <c r="E79" s="286">
        <f t="shared" si="9"/>
        <v>11671.120500000001</v>
      </c>
      <c r="F79" s="286">
        <f t="shared" si="10"/>
        <v>12568.899000000001</v>
      </c>
      <c r="G79" s="286">
        <f t="shared" si="11"/>
        <v>13466.677500000002</v>
      </c>
      <c r="H79" s="286">
        <f t="shared" si="12"/>
        <v>14364.456000000002</v>
      </c>
    </row>
    <row r="80" spans="1:8">
      <c r="A80" s="93" t="str">
        <f t="shared" si="5"/>
        <v>Maize</v>
      </c>
      <c r="B80" s="286">
        <f t="shared" si="6"/>
        <v>0</v>
      </c>
      <c r="C80" s="286">
        <f t="shared" si="7"/>
        <v>0</v>
      </c>
      <c r="D80" s="286">
        <f t="shared" si="8"/>
        <v>0</v>
      </c>
      <c r="E80" s="286">
        <f t="shared" si="9"/>
        <v>0</v>
      </c>
      <c r="F80" s="286">
        <f t="shared" si="10"/>
        <v>0</v>
      </c>
      <c r="G80" s="286">
        <f t="shared" si="11"/>
        <v>0</v>
      </c>
      <c r="H80" s="286">
        <f t="shared" si="12"/>
        <v>0</v>
      </c>
    </row>
    <row r="81" spans="1:12">
      <c r="A81" s="93" t="str">
        <f t="shared" si="5"/>
        <v>Safflower</v>
      </c>
      <c r="B81" s="286">
        <f t="shared" si="6"/>
        <v>0</v>
      </c>
      <c r="C81" s="286">
        <f t="shared" si="7"/>
        <v>0</v>
      </c>
      <c r="D81" s="286">
        <f t="shared" si="8"/>
        <v>0</v>
      </c>
      <c r="E81" s="286">
        <f t="shared" si="9"/>
        <v>0</v>
      </c>
      <c r="F81" s="286">
        <f t="shared" si="10"/>
        <v>0</v>
      </c>
      <c r="G81" s="286">
        <f t="shared" si="11"/>
        <v>0</v>
      </c>
      <c r="H81" s="286">
        <f t="shared" si="12"/>
        <v>0</v>
      </c>
    </row>
    <row r="82" spans="1:12">
      <c r="A82" s="93">
        <f t="shared" si="5"/>
        <v>0</v>
      </c>
      <c r="B82" s="286">
        <f t="shared" si="6"/>
        <v>0</v>
      </c>
      <c r="C82" s="286">
        <f t="shared" si="7"/>
        <v>0</v>
      </c>
      <c r="D82" s="286">
        <f t="shared" si="8"/>
        <v>0</v>
      </c>
      <c r="E82" s="286">
        <f t="shared" si="9"/>
        <v>0</v>
      </c>
      <c r="F82" s="286">
        <f t="shared" si="10"/>
        <v>0</v>
      </c>
      <c r="G82" s="286">
        <f t="shared" si="11"/>
        <v>0</v>
      </c>
      <c r="H82" s="286">
        <f t="shared" si="12"/>
        <v>0</v>
      </c>
    </row>
    <row r="83" spans="1:12">
      <c r="A83" s="93">
        <f t="shared" si="5"/>
        <v>0</v>
      </c>
      <c r="B83" s="286">
        <f t="shared" si="6"/>
        <v>0</v>
      </c>
      <c r="C83" s="286">
        <f t="shared" si="7"/>
        <v>0</v>
      </c>
      <c r="D83" s="286">
        <f t="shared" si="8"/>
        <v>0</v>
      </c>
      <c r="E83" s="286">
        <f t="shared" si="9"/>
        <v>0</v>
      </c>
      <c r="F83" s="286">
        <f t="shared" si="10"/>
        <v>0</v>
      </c>
      <c r="G83" s="286">
        <f t="shared" si="11"/>
        <v>0</v>
      </c>
      <c r="H83" s="286">
        <f t="shared" si="12"/>
        <v>0</v>
      </c>
    </row>
    <row r="84" spans="1:12">
      <c r="A84" s="93">
        <f t="shared" si="5"/>
        <v>0</v>
      </c>
      <c r="B84" s="286">
        <f t="shared" si="6"/>
        <v>0</v>
      </c>
      <c r="C84" s="286">
        <f t="shared" ref="C84:H89" si="13">C27*$B$63</f>
        <v>0</v>
      </c>
      <c r="D84" s="286">
        <f t="shared" si="13"/>
        <v>0</v>
      </c>
      <c r="E84" s="286">
        <f t="shared" si="13"/>
        <v>0</v>
      </c>
      <c r="F84" s="286">
        <f t="shared" si="13"/>
        <v>0</v>
      </c>
      <c r="G84" s="286">
        <f t="shared" si="13"/>
        <v>0</v>
      </c>
      <c r="H84" s="286">
        <f t="shared" si="13"/>
        <v>0</v>
      </c>
    </row>
    <row r="85" spans="1:12">
      <c r="A85" s="93" t="str">
        <f t="shared" si="5"/>
        <v>Maize</v>
      </c>
      <c r="B85" s="286">
        <f t="shared" si="6"/>
        <v>2376.4724999999999</v>
      </c>
      <c r="C85" s="286">
        <f t="shared" si="13"/>
        <v>2614.1197500000003</v>
      </c>
      <c r="D85" s="286">
        <f t="shared" si="13"/>
        <v>2851.7670000000003</v>
      </c>
      <c r="E85" s="286">
        <f t="shared" si="13"/>
        <v>3089.4142500000007</v>
      </c>
      <c r="F85" s="286">
        <f t="shared" si="13"/>
        <v>3327.0615000000007</v>
      </c>
      <c r="G85" s="286">
        <f t="shared" si="13"/>
        <v>3564.7087500000011</v>
      </c>
      <c r="H85" s="286">
        <f t="shared" si="13"/>
        <v>3802.3560000000016</v>
      </c>
    </row>
    <row r="86" spans="1:12">
      <c r="A86" s="93">
        <f t="shared" si="5"/>
        <v>0</v>
      </c>
      <c r="B86" s="286">
        <f t="shared" si="6"/>
        <v>0</v>
      </c>
      <c r="C86" s="286">
        <f t="shared" si="13"/>
        <v>0</v>
      </c>
      <c r="D86" s="286">
        <f t="shared" si="13"/>
        <v>0</v>
      </c>
      <c r="E86" s="286">
        <f t="shared" si="13"/>
        <v>0</v>
      </c>
      <c r="F86" s="286">
        <f t="shared" si="13"/>
        <v>0</v>
      </c>
      <c r="G86" s="286">
        <f t="shared" si="13"/>
        <v>0</v>
      </c>
      <c r="H86" s="286">
        <f t="shared" si="13"/>
        <v>0</v>
      </c>
    </row>
    <row r="87" spans="1:12">
      <c r="A87" s="93">
        <f t="shared" si="5"/>
        <v>0</v>
      </c>
      <c r="B87" s="286">
        <f t="shared" si="6"/>
        <v>0</v>
      </c>
      <c r="C87" s="286">
        <f t="shared" si="13"/>
        <v>0</v>
      </c>
      <c r="D87" s="286">
        <f t="shared" si="13"/>
        <v>0</v>
      </c>
      <c r="E87" s="286">
        <f t="shared" si="13"/>
        <v>0</v>
      </c>
      <c r="F87" s="286">
        <f t="shared" si="13"/>
        <v>0</v>
      </c>
      <c r="G87" s="286">
        <f t="shared" si="13"/>
        <v>0</v>
      </c>
      <c r="H87" s="286">
        <f t="shared" si="13"/>
        <v>0</v>
      </c>
    </row>
    <row r="88" spans="1:12">
      <c r="A88" s="93">
        <f t="shared" si="5"/>
        <v>0</v>
      </c>
      <c r="B88" s="286">
        <f t="shared" si="6"/>
        <v>0</v>
      </c>
      <c r="C88" s="286">
        <f t="shared" si="13"/>
        <v>0</v>
      </c>
      <c r="D88" s="286">
        <f t="shared" si="13"/>
        <v>0</v>
      </c>
      <c r="E88" s="286">
        <f t="shared" si="13"/>
        <v>0</v>
      </c>
      <c r="F88" s="286">
        <f t="shared" si="13"/>
        <v>0</v>
      </c>
      <c r="G88" s="286">
        <f t="shared" si="13"/>
        <v>0</v>
      </c>
      <c r="H88" s="286">
        <f t="shared" si="13"/>
        <v>0</v>
      </c>
    </row>
    <row r="89" spans="1:12">
      <c r="A89" s="93">
        <f t="shared" si="5"/>
        <v>0</v>
      </c>
      <c r="B89" s="286">
        <f t="shared" si="6"/>
        <v>0</v>
      </c>
      <c r="C89" s="286">
        <f t="shared" si="13"/>
        <v>0</v>
      </c>
      <c r="D89" s="286">
        <f t="shared" si="13"/>
        <v>0</v>
      </c>
      <c r="E89" s="286">
        <f t="shared" si="13"/>
        <v>0</v>
      </c>
      <c r="F89" s="286">
        <f t="shared" si="13"/>
        <v>0</v>
      </c>
      <c r="G89" s="286">
        <f t="shared" si="13"/>
        <v>0</v>
      </c>
      <c r="H89" s="286">
        <f t="shared" si="13"/>
        <v>0</v>
      </c>
    </row>
    <row r="90" spans="1:12">
      <c r="A90" s="93"/>
      <c r="B90" s="286"/>
      <c r="C90" s="286"/>
      <c r="D90" s="286"/>
      <c r="E90" s="286"/>
      <c r="F90" s="286"/>
      <c r="G90" s="286"/>
      <c r="H90" s="286"/>
      <c r="J90" s="307"/>
      <c r="K90" s="307"/>
      <c r="L90" s="307"/>
    </row>
    <row r="91" spans="1:12" hidden="1">
      <c r="A91" s="93" t="str">
        <f t="shared" ref="A91:A109" si="14">A34</f>
        <v>Fruit  &amp; Vegetables Crop Production Details</v>
      </c>
      <c r="B91" s="286"/>
      <c r="C91" s="286"/>
      <c r="D91" s="286"/>
      <c r="E91" s="286"/>
      <c r="F91" s="286"/>
      <c r="G91" s="286"/>
      <c r="H91" s="286"/>
      <c r="J91" s="307"/>
      <c r="K91" s="307"/>
      <c r="L91" s="307"/>
    </row>
    <row r="92" spans="1:12" hidden="1">
      <c r="A92" s="93" t="str">
        <f t="shared" si="14"/>
        <v>Onion</v>
      </c>
      <c r="B92" s="286">
        <f t="shared" ref="B92:H101" si="15">B35</f>
        <v>0</v>
      </c>
      <c r="C92" s="286">
        <f t="shared" si="15"/>
        <v>0</v>
      </c>
      <c r="D92" s="286">
        <f t="shared" si="15"/>
        <v>0</v>
      </c>
      <c r="E92" s="286">
        <f t="shared" si="15"/>
        <v>0</v>
      </c>
      <c r="F92" s="286">
        <f t="shared" si="15"/>
        <v>0</v>
      </c>
      <c r="G92" s="286">
        <f t="shared" si="15"/>
        <v>0</v>
      </c>
      <c r="H92" s="286">
        <f t="shared" si="15"/>
        <v>0</v>
      </c>
      <c r="J92" s="307"/>
      <c r="K92" s="307"/>
      <c r="L92" s="307"/>
    </row>
    <row r="93" spans="1:12" hidden="1">
      <c r="A93" s="93" t="str">
        <f t="shared" si="14"/>
        <v>Tomato</v>
      </c>
      <c r="B93" s="286">
        <f t="shared" si="15"/>
        <v>0</v>
      </c>
      <c r="C93" s="286">
        <f t="shared" si="15"/>
        <v>0</v>
      </c>
      <c r="D93" s="286">
        <f t="shared" si="15"/>
        <v>0</v>
      </c>
      <c r="E93" s="286">
        <f t="shared" si="15"/>
        <v>0</v>
      </c>
      <c r="F93" s="286">
        <f t="shared" si="15"/>
        <v>0</v>
      </c>
      <c r="G93" s="286">
        <f t="shared" si="15"/>
        <v>0</v>
      </c>
      <c r="H93" s="286">
        <f t="shared" si="15"/>
        <v>0</v>
      </c>
      <c r="J93" s="307"/>
      <c r="K93" s="307"/>
      <c r="L93" s="307"/>
    </row>
    <row r="94" spans="1:12" hidden="1">
      <c r="A94" s="93" t="str">
        <f t="shared" si="14"/>
        <v>Okra</v>
      </c>
      <c r="B94" s="286">
        <f t="shared" si="15"/>
        <v>0</v>
      </c>
      <c r="C94" s="286">
        <f t="shared" si="15"/>
        <v>0</v>
      </c>
      <c r="D94" s="286">
        <f t="shared" si="15"/>
        <v>0</v>
      </c>
      <c r="E94" s="286">
        <f t="shared" si="15"/>
        <v>0</v>
      </c>
      <c r="F94" s="286">
        <f t="shared" si="15"/>
        <v>0</v>
      </c>
      <c r="G94" s="286">
        <f t="shared" si="15"/>
        <v>0</v>
      </c>
      <c r="H94" s="286">
        <f t="shared" si="15"/>
        <v>0</v>
      </c>
      <c r="J94" s="307"/>
      <c r="K94" s="307"/>
      <c r="L94" s="307"/>
    </row>
    <row r="95" spans="1:12" hidden="1">
      <c r="A95" s="93" t="str">
        <f t="shared" si="14"/>
        <v>Chilli</v>
      </c>
      <c r="B95" s="286">
        <f t="shared" si="15"/>
        <v>0</v>
      </c>
      <c r="C95" s="286">
        <f t="shared" si="15"/>
        <v>0</v>
      </c>
      <c r="D95" s="286">
        <f t="shared" si="15"/>
        <v>0</v>
      </c>
      <c r="E95" s="286">
        <f t="shared" si="15"/>
        <v>0</v>
      </c>
      <c r="F95" s="286">
        <f t="shared" si="15"/>
        <v>0</v>
      </c>
      <c r="G95" s="286">
        <f t="shared" si="15"/>
        <v>0</v>
      </c>
      <c r="H95" s="286">
        <f t="shared" si="15"/>
        <v>0</v>
      </c>
      <c r="J95" s="307"/>
      <c r="K95" s="307"/>
      <c r="L95" s="307"/>
    </row>
    <row r="96" spans="1:12" hidden="1">
      <c r="A96" s="93" t="str">
        <f t="shared" si="14"/>
        <v>Potato</v>
      </c>
      <c r="B96" s="286">
        <f t="shared" si="15"/>
        <v>0</v>
      </c>
      <c r="C96" s="286">
        <f t="shared" si="15"/>
        <v>0</v>
      </c>
      <c r="D96" s="286">
        <f t="shared" si="15"/>
        <v>0</v>
      </c>
      <c r="E96" s="286">
        <f t="shared" si="15"/>
        <v>0</v>
      </c>
      <c r="F96" s="286">
        <f t="shared" si="15"/>
        <v>0</v>
      </c>
      <c r="G96" s="286">
        <f t="shared" si="15"/>
        <v>0</v>
      </c>
      <c r="H96" s="286">
        <f t="shared" si="15"/>
        <v>0</v>
      </c>
      <c r="J96" s="307"/>
      <c r="K96" s="307"/>
      <c r="L96" s="307"/>
    </row>
    <row r="97" spans="1:12" hidden="1">
      <c r="A97" s="93">
        <f t="shared" si="14"/>
        <v>0</v>
      </c>
      <c r="B97" s="286">
        <f t="shared" si="15"/>
        <v>0</v>
      </c>
      <c r="C97" s="286">
        <f t="shared" si="15"/>
        <v>0</v>
      </c>
      <c r="D97" s="286">
        <f t="shared" si="15"/>
        <v>0</v>
      </c>
      <c r="E97" s="286">
        <f t="shared" si="15"/>
        <v>0</v>
      </c>
      <c r="F97" s="286">
        <f t="shared" si="15"/>
        <v>0</v>
      </c>
      <c r="G97" s="286">
        <f t="shared" si="15"/>
        <v>0</v>
      </c>
      <c r="H97" s="286">
        <f t="shared" si="15"/>
        <v>0</v>
      </c>
      <c r="J97" s="307"/>
      <c r="K97" s="307"/>
      <c r="L97" s="307"/>
    </row>
    <row r="98" spans="1:12" hidden="1">
      <c r="A98" s="93">
        <f t="shared" si="14"/>
        <v>0</v>
      </c>
      <c r="B98" s="286">
        <f t="shared" si="15"/>
        <v>0</v>
      </c>
      <c r="C98" s="286">
        <f t="shared" si="15"/>
        <v>0</v>
      </c>
      <c r="D98" s="286">
        <f t="shared" si="15"/>
        <v>0</v>
      </c>
      <c r="E98" s="286">
        <f t="shared" si="15"/>
        <v>0</v>
      </c>
      <c r="F98" s="286">
        <f t="shared" si="15"/>
        <v>0</v>
      </c>
      <c r="G98" s="286">
        <f t="shared" si="15"/>
        <v>0</v>
      </c>
      <c r="H98" s="286">
        <f t="shared" si="15"/>
        <v>0</v>
      </c>
      <c r="J98" s="307"/>
      <c r="K98" s="307"/>
      <c r="L98" s="307"/>
    </row>
    <row r="99" spans="1:12" hidden="1">
      <c r="A99" s="93">
        <f t="shared" si="14"/>
        <v>0</v>
      </c>
      <c r="B99" s="286">
        <f t="shared" si="15"/>
        <v>0</v>
      </c>
      <c r="C99" s="286">
        <f t="shared" si="15"/>
        <v>0</v>
      </c>
      <c r="D99" s="286">
        <f t="shared" si="15"/>
        <v>0</v>
      </c>
      <c r="E99" s="286">
        <f t="shared" si="15"/>
        <v>0</v>
      </c>
      <c r="F99" s="286">
        <f t="shared" si="15"/>
        <v>0</v>
      </c>
      <c r="G99" s="286">
        <f t="shared" si="15"/>
        <v>0</v>
      </c>
      <c r="H99" s="286">
        <f t="shared" si="15"/>
        <v>0</v>
      </c>
      <c r="J99" s="307"/>
      <c r="K99" s="307"/>
      <c r="L99" s="307"/>
    </row>
    <row r="100" spans="1:12" hidden="1">
      <c r="A100" s="93">
        <f t="shared" si="14"/>
        <v>0</v>
      </c>
      <c r="B100" s="286">
        <f t="shared" si="15"/>
        <v>0</v>
      </c>
      <c r="C100" s="286">
        <f t="shared" si="15"/>
        <v>0</v>
      </c>
      <c r="D100" s="286">
        <f t="shared" si="15"/>
        <v>0</v>
      </c>
      <c r="E100" s="286">
        <f t="shared" si="15"/>
        <v>0</v>
      </c>
      <c r="F100" s="286">
        <f t="shared" si="15"/>
        <v>0</v>
      </c>
      <c r="G100" s="286">
        <f t="shared" si="15"/>
        <v>0</v>
      </c>
      <c r="H100" s="286">
        <f t="shared" si="15"/>
        <v>0</v>
      </c>
      <c r="J100" s="307"/>
      <c r="K100" s="307"/>
      <c r="L100" s="307"/>
    </row>
    <row r="101" spans="1:12" hidden="1">
      <c r="A101" s="93" t="str">
        <f t="shared" si="14"/>
        <v>Onion</v>
      </c>
      <c r="B101" s="286">
        <f t="shared" si="15"/>
        <v>0</v>
      </c>
      <c r="C101" s="286">
        <f t="shared" si="15"/>
        <v>0</v>
      </c>
      <c r="D101" s="286">
        <f t="shared" si="15"/>
        <v>0</v>
      </c>
      <c r="E101" s="286">
        <f t="shared" si="15"/>
        <v>0</v>
      </c>
      <c r="F101" s="286">
        <f t="shared" si="15"/>
        <v>0</v>
      </c>
      <c r="G101" s="286">
        <f t="shared" si="15"/>
        <v>0</v>
      </c>
      <c r="H101" s="286">
        <f t="shared" si="15"/>
        <v>0</v>
      </c>
      <c r="J101" s="307"/>
      <c r="K101" s="307"/>
      <c r="L101" s="307"/>
    </row>
    <row r="102" spans="1:12" hidden="1">
      <c r="A102" s="93" t="str">
        <f t="shared" si="14"/>
        <v>Tomato</v>
      </c>
      <c r="B102" s="286">
        <f t="shared" ref="B102:H109" si="16">B45</f>
        <v>0</v>
      </c>
      <c r="C102" s="286">
        <f t="shared" si="16"/>
        <v>0</v>
      </c>
      <c r="D102" s="286">
        <f t="shared" si="16"/>
        <v>0</v>
      </c>
      <c r="E102" s="286">
        <f t="shared" si="16"/>
        <v>0</v>
      </c>
      <c r="F102" s="286">
        <f t="shared" si="16"/>
        <v>0</v>
      </c>
      <c r="G102" s="286">
        <f t="shared" si="16"/>
        <v>0</v>
      </c>
      <c r="H102" s="286">
        <f t="shared" si="16"/>
        <v>0</v>
      </c>
      <c r="J102" s="307"/>
      <c r="K102" s="307"/>
      <c r="L102" s="307"/>
    </row>
    <row r="103" spans="1:12" hidden="1">
      <c r="A103" s="93" t="str">
        <f t="shared" si="14"/>
        <v>Okra</v>
      </c>
      <c r="B103" s="286">
        <f t="shared" si="16"/>
        <v>0</v>
      </c>
      <c r="C103" s="286">
        <f t="shared" si="16"/>
        <v>0</v>
      </c>
      <c r="D103" s="286">
        <f t="shared" si="16"/>
        <v>0</v>
      </c>
      <c r="E103" s="286">
        <f t="shared" si="16"/>
        <v>0</v>
      </c>
      <c r="F103" s="286">
        <f t="shared" si="16"/>
        <v>0</v>
      </c>
      <c r="G103" s="286">
        <f t="shared" si="16"/>
        <v>0</v>
      </c>
      <c r="H103" s="286">
        <f t="shared" si="16"/>
        <v>0</v>
      </c>
      <c r="J103" s="307"/>
      <c r="K103" s="307"/>
      <c r="L103" s="307"/>
    </row>
    <row r="104" spans="1:12" hidden="1">
      <c r="A104" s="93" t="str">
        <f t="shared" si="14"/>
        <v>Chilli</v>
      </c>
      <c r="B104" s="286">
        <f t="shared" si="16"/>
        <v>0</v>
      </c>
      <c r="C104" s="286">
        <f t="shared" si="16"/>
        <v>0</v>
      </c>
      <c r="D104" s="286">
        <f t="shared" si="16"/>
        <v>0</v>
      </c>
      <c r="E104" s="286">
        <f t="shared" si="16"/>
        <v>0</v>
      </c>
      <c r="F104" s="286">
        <f t="shared" si="16"/>
        <v>0</v>
      </c>
      <c r="G104" s="286">
        <f t="shared" si="16"/>
        <v>0</v>
      </c>
      <c r="H104" s="286">
        <f t="shared" si="16"/>
        <v>0</v>
      </c>
      <c r="J104" s="307"/>
      <c r="K104" s="307"/>
      <c r="L104" s="307"/>
    </row>
    <row r="105" spans="1:12" hidden="1">
      <c r="A105" s="93" t="str">
        <f t="shared" si="14"/>
        <v>Brinjal</v>
      </c>
      <c r="B105" s="286">
        <f t="shared" si="16"/>
        <v>0</v>
      </c>
      <c r="C105" s="286">
        <f t="shared" si="16"/>
        <v>0</v>
      </c>
      <c r="D105" s="286">
        <f t="shared" si="16"/>
        <v>0</v>
      </c>
      <c r="E105" s="286">
        <f t="shared" si="16"/>
        <v>0</v>
      </c>
      <c r="F105" s="286">
        <f t="shared" si="16"/>
        <v>0</v>
      </c>
      <c r="G105" s="286">
        <f t="shared" si="16"/>
        <v>0</v>
      </c>
      <c r="H105" s="286">
        <f t="shared" si="16"/>
        <v>0</v>
      </c>
      <c r="J105" s="307"/>
      <c r="K105" s="307"/>
      <c r="L105" s="307"/>
    </row>
    <row r="106" spans="1:12" hidden="1">
      <c r="A106" s="93">
        <f t="shared" si="14"/>
        <v>0</v>
      </c>
      <c r="B106" s="286">
        <f t="shared" si="16"/>
        <v>0</v>
      </c>
      <c r="C106" s="286">
        <f t="shared" si="16"/>
        <v>0</v>
      </c>
      <c r="D106" s="286">
        <f t="shared" si="16"/>
        <v>0</v>
      </c>
      <c r="E106" s="286">
        <f t="shared" si="16"/>
        <v>0</v>
      </c>
      <c r="F106" s="286">
        <f t="shared" si="16"/>
        <v>0</v>
      </c>
      <c r="G106" s="286">
        <f t="shared" si="16"/>
        <v>0</v>
      </c>
      <c r="H106" s="286">
        <f t="shared" si="16"/>
        <v>0</v>
      </c>
      <c r="J106" s="307"/>
      <c r="K106" s="307"/>
      <c r="L106" s="307"/>
    </row>
    <row r="107" spans="1:12" hidden="1">
      <c r="A107" s="93">
        <f t="shared" si="14"/>
        <v>0</v>
      </c>
      <c r="B107" s="286">
        <f t="shared" si="16"/>
        <v>0</v>
      </c>
      <c r="C107" s="286">
        <f t="shared" si="16"/>
        <v>0</v>
      </c>
      <c r="D107" s="286">
        <f t="shared" si="16"/>
        <v>0</v>
      </c>
      <c r="E107" s="286">
        <f t="shared" si="16"/>
        <v>0</v>
      </c>
      <c r="F107" s="286">
        <f t="shared" si="16"/>
        <v>0</v>
      </c>
      <c r="G107" s="286">
        <f t="shared" si="16"/>
        <v>0</v>
      </c>
      <c r="H107" s="286">
        <f t="shared" si="16"/>
        <v>0</v>
      </c>
      <c r="J107" s="307"/>
      <c r="K107" s="307"/>
      <c r="L107" s="307"/>
    </row>
    <row r="108" spans="1:12" hidden="1">
      <c r="A108" s="93">
        <f t="shared" si="14"/>
        <v>0</v>
      </c>
      <c r="B108" s="286">
        <f t="shared" si="16"/>
        <v>0</v>
      </c>
      <c r="C108" s="286">
        <f t="shared" si="16"/>
        <v>0</v>
      </c>
      <c r="D108" s="286">
        <f t="shared" si="16"/>
        <v>0</v>
      </c>
      <c r="E108" s="286">
        <f t="shared" si="16"/>
        <v>0</v>
      </c>
      <c r="F108" s="286">
        <f t="shared" si="16"/>
        <v>0</v>
      </c>
      <c r="G108" s="286">
        <f t="shared" si="16"/>
        <v>0</v>
      </c>
      <c r="H108" s="286">
        <f t="shared" si="16"/>
        <v>0</v>
      </c>
      <c r="J108" s="307"/>
      <c r="K108" s="307"/>
      <c r="L108" s="307"/>
    </row>
    <row r="109" spans="1:12" hidden="1">
      <c r="A109" s="93">
        <f t="shared" si="14"/>
        <v>0</v>
      </c>
      <c r="B109" s="286">
        <f t="shared" si="16"/>
        <v>0</v>
      </c>
      <c r="C109" s="286">
        <f t="shared" si="16"/>
        <v>0</v>
      </c>
      <c r="D109" s="286">
        <f t="shared" si="16"/>
        <v>0</v>
      </c>
      <c r="E109" s="286">
        <f t="shared" si="16"/>
        <v>0</v>
      </c>
      <c r="F109" s="286">
        <f t="shared" si="16"/>
        <v>0</v>
      </c>
      <c r="G109" s="286">
        <f t="shared" si="16"/>
        <v>0</v>
      </c>
      <c r="H109" s="286">
        <f t="shared" si="16"/>
        <v>0</v>
      </c>
      <c r="J109" s="307"/>
      <c r="K109" s="307"/>
      <c r="L109" s="307"/>
    </row>
    <row r="110" spans="1:12" hidden="1">
      <c r="A110" s="93">
        <f t="shared" ref="A110:A113" si="17">A53</f>
        <v>0</v>
      </c>
      <c r="B110" s="286"/>
      <c r="C110" s="286"/>
      <c r="D110" s="286"/>
      <c r="E110" s="286"/>
      <c r="F110" s="286"/>
      <c r="G110" s="286"/>
      <c r="H110" s="286"/>
      <c r="J110" s="307"/>
      <c r="K110" s="307"/>
      <c r="L110" s="307"/>
    </row>
    <row r="111" spans="1:12" hidden="1">
      <c r="A111" s="93">
        <f t="shared" si="17"/>
        <v>0</v>
      </c>
      <c r="B111" s="286"/>
      <c r="C111" s="286"/>
      <c r="D111" s="286"/>
      <c r="E111" s="286"/>
      <c r="F111" s="286"/>
      <c r="G111" s="286"/>
      <c r="H111" s="286"/>
      <c r="J111" s="307"/>
      <c r="K111" s="307"/>
      <c r="L111" s="307"/>
    </row>
    <row r="112" spans="1:12" hidden="1">
      <c r="A112" s="93">
        <f t="shared" si="17"/>
        <v>0</v>
      </c>
      <c r="B112" s="286"/>
      <c r="C112" s="286"/>
      <c r="D112" s="286"/>
      <c r="E112" s="286"/>
      <c r="F112" s="286"/>
      <c r="G112" s="286"/>
      <c r="H112" s="286"/>
      <c r="J112" s="307"/>
      <c r="K112" s="307"/>
      <c r="L112" s="307"/>
    </row>
    <row r="113" spans="1:12" hidden="1">
      <c r="A113" s="93" t="str">
        <f t="shared" si="17"/>
        <v>Pomegranate</v>
      </c>
      <c r="B113" s="286">
        <f t="shared" ref="B113:H116" si="18">B56</f>
        <v>0</v>
      </c>
      <c r="C113" s="286">
        <f t="shared" si="18"/>
        <v>0</v>
      </c>
      <c r="D113" s="286">
        <f t="shared" si="18"/>
        <v>0</v>
      </c>
      <c r="E113" s="286">
        <f t="shared" si="18"/>
        <v>0</v>
      </c>
      <c r="F113" s="286">
        <f t="shared" si="18"/>
        <v>0</v>
      </c>
      <c r="G113" s="286">
        <f t="shared" si="18"/>
        <v>0</v>
      </c>
      <c r="H113" s="286">
        <f t="shared" si="18"/>
        <v>0</v>
      </c>
      <c r="J113" s="307"/>
      <c r="K113" s="307"/>
      <c r="L113" s="307"/>
    </row>
    <row r="114" spans="1:12" hidden="1">
      <c r="A114" s="93" t="str">
        <f>A57</f>
        <v>Custard Apple</v>
      </c>
      <c r="B114" s="286">
        <f t="shared" si="18"/>
        <v>0</v>
      </c>
      <c r="C114" s="286">
        <f t="shared" si="18"/>
        <v>0</v>
      </c>
      <c r="D114" s="286">
        <f t="shared" si="18"/>
        <v>0</v>
      </c>
      <c r="E114" s="286">
        <f t="shared" si="18"/>
        <v>0</v>
      </c>
      <c r="F114" s="286">
        <f t="shared" si="18"/>
        <v>0</v>
      </c>
      <c r="G114" s="286">
        <f t="shared" si="18"/>
        <v>0</v>
      </c>
      <c r="H114" s="286">
        <f t="shared" si="18"/>
        <v>0</v>
      </c>
      <c r="J114" s="307"/>
      <c r="K114" s="307"/>
      <c r="L114" s="307"/>
    </row>
    <row r="115" spans="1:12" hidden="1">
      <c r="A115" s="93" t="str">
        <f>A58</f>
        <v>Guava</v>
      </c>
      <c r="B115" s="286">
        <f t="shared" si="18"/>
        <v>0</v>
      </c>
      <c r="C115" s="286">
        <f t="shared" si="18"/>
        <v>0</v>
      </c>
      <c r="D115" s="286">
        <f t="shared" si="18"/>
        <v>0</v>
      </c>
      <c r="E115" s="286">
        <f t="shared" si="18"/>
        <v>0</v>
      </c>
      <c r="F115" s="286">
        <f t="shared" si="18"/>
        <v>0</v>
      </c>
      <c r="G115" s="286">
        <f t="shared" si="18"/>
        <v>0</v>
      </c>
      <c r="H115" s="286">
        <f t="shared" si="18"/>
        <v>0</v>
      </c>
      <c r="J115" s="307"/>
      <c r="K115" s="307"/>
      <c r="L115" s="307"/>
    </row>
    <row r="116" spans="1:12" hidden="1">
      <c r="A116" s="93" t="str">
        <f>A59</f>
        <v>Citrus</v>
      </c>
      <c r="B116" s="286">
        <f t="shared" si="18"/>
        <v>0</v>
      </c>
      <c r="C116" s="286">
        <f t="shared" si="18"/>
        <v>0</v>
      </c>
      <c r="D116" s="286">
        <f t="shared" si="18"/>
        <v>0</v>
      </c>
      <c r="E116" s="286">
        <f t="shared" si="18"/>
        <v>0</v>
      </c>
      <c r="F116" s="286">
        <f t="shared" si="18"/>
        <v>0</v>
      </c>
      <c r="G116" s="286">
        <f t="shared" si="18"/>
        <v>0</v>
      </c>
      <c r="H116" s="286">
        <f t="shared" si="18"/>
        <v>0</v>
      </c>
      <c r="J116" s="307"/>
      <c r="K116" s="307"/>
      <c r="L116" s="307"/>
    </row>
    <row r="117" spans="1:12" hidden="1">
      <c r="A117" s="93"/>
      <c r="B117" s="286"/>
      <c r="C117" s="286"/>
      <c r="D117" s="286"/>
      <c r="E117" s="286"/>
      <c r="F117" s="286"/>
      <c r="G117" s="286"/>
      <c r="H117" s="286"/>
      <c r="J117" s="307"/>
      <c r="K117" s="307"/>
      <c r="L117" s="307"/>
    </row>
    <row r="118" spans="1:12">
      <c r="A118" s="93"/>
      <c r="B118" s="286"/>
      <c r="C118" s="286"/>
      <c r="D118" s="286"/>
      <c r="E118" s="286"/>
      <c r="F118" s="286"/>
      <c r="G118" s="286"/>
      <c r="H118" s="286"/>
      <c r="J118" s="307"/>
      <c r="K118" s="307"/>
      <c r="L118" s="307"/>
    </row>
    <row r="119" spans="1:12">
      <c r="A119" s="99" t="s">
        <v>138</v>
      </c>
      <c r="B119" s="93"/>
      <c r="C119" s="93"/>
      <c r="D119" s="93"/>
      <c r="E119" s="93"/>
      <c r="F119" s="93"/>
      <c r="G119" s="93"/>
      <c r="H119" s="93"/>
    </row>
    <row r="120" spans="1:12">
      <c r="A120" s="97" t="str">
        <f t="shared" ref="A120:A141" si="19">A68</f>
        <v>Soybean</v>
      </c>
      <c r="B120" s="287">
        <f t="shared" ref="B120:H129" si="20">B68-(B68*$G$6)</f>
        <v>0</v>
      </c>
      <c r="C120" s="287">
        <f t="shared" si="20"/>
        <v>0</v>
      </c>
      <c r="D120" s="287">
        <f t="shared" si="20"/>
        <v>0</v>
      </c>
      <c r="E120" s="287">
        <f t="shared" si="20"/>
        <v>0</v>
      </c>
      <c r="F120" s="287">
        <f t="shared" si="20"/>
        <v>0</v>
      </c>
      <c r="G120" s="287">
        <f t="shared" si="20"/>
        <v>0</v>
      </c>
      <c r="H120" s="287">
        <f t="shared" si="20"/>
        <v>0</v>
      </c>
    </row>
    <row r="121" spans="1:12">
      <c r="A121" s="97" t="str">
        <f t="shared" si="19"/>
        <v>Red Gram/Tur</v>
      </c>
      <c r="B121" s="287">
        <f>B69-(B69*$G$6)</f>
        <v>429.3959625</v>
      </c>
      <c r="C121" s="287">
        <f t="shared" si="20"/>
        <v>472.33555875000002</v>
      </c>
      <c r="D121" s="287">
        <f t="shared" si="20"/>
        <v>515.27515500000015</v>
      </c>
      <c r="E121" s="287">
        <f t="shared" si="20"/>
        <v>558.21475125000018</v>
      </c>
      <c r="F121" s="287">
        <f t="shared" si="20"/>
        <v>601.1543475000002</v>
      </c>
      <c r="G121" s="287">
        <f t="shared" si="20"/>
        <v>644.09394375000045</v>
      </c>
      <c r="H121" s="287">
        <f t="shared" si="20"/>
        <v>687.03354000000047</v>
      </c>
    </row>
    <row r="122" spans="1:12">
      <c r="A122" s="97" t="str">
        <f t="shared" si="19"/>
        <v>Paddy/Rice</v>
      </c>
      <c r="B122" s="287">
        <f t="shared" si="20"/>
        <v>0</v>
      </c>
      <c r="C122" s="287">
        <f t="shared" si="20"/>
        <v>0</v>
      </c>
      <c r="D122" s="287">
        <f t="shared" si="20"/>
        <v>0</v>
      </c>
      <c r="E122" s="287">
        <f t="shared" si="20"/>
        <v>0</v>
      </c>
      <c r="F122" s="287">
        <f t="shared" si="20"/>
        <v>0</v>
      </c>
      <c r="G122" s="287">
        <f t="shared" si="20"/>
        <v>0</v>
      </c>
      <c r="H122" s="287">
        <f t="shared" si="20"/>
        <v>0</v>
      </c>
    </row>
    <row r="123" spans="1:12">
      <c r="A123" s="97" t="str">
        <f t="shared" si="19"/>
        <v>Green Gram/ Moong</v>
      </c>
      <c r="B123" s="287">
        <f t="shared" si="20"/>
        <v>0</v>
      </c>
      <c r="C123" s="287">
        <f t="shared" si="20"/>
        <v>0</v>
      </c>
      <c r="D123" s="287">
        <f t="shared" si="20"/>
        <v>0</v>
      </c>
      <c r="E123" s="287">
        <f t="shared" si="20"/>
        <v>0</v>
      </c>
      <c r="F123" s="287">
        <f t="shared" si="20"/>
        <v>0</v>
      </c>
      <c r="G123" s="287">
        <f t="shared" si="20"/>
        <v>0</v>
      </c>
      <c r="H123" s="287">
        <f t="shared" si="20"/>
        <v>0</v>
      </c>
    </row>
    <row r="124" spans="1:12">
      <c r="A124" s="97" t="str">
        <f t="shared" si="19"/>
        <v>Maize</v>
      </c>
      <c r="B124" s="287">
        <f>B72-(B72*$G$6)</f>
        <v>3585.83295</v>
      </c>
      <c r="C124" s="287">
        <f t="shared" si="20"/>
        <v>3944.4162449999999</v>
      </c>
      <c r="D124" s="287">
        <f t="shared" si="20"/>
        <v>4302.9995400000007</v>
      </c>
      <c r="E124" s="287">
        <f t="shared" si="20"/>
        <v>4661.5828350000002</v>
      </c>
      <c r="F124" s="287">
        <f t="shared" si="20"/>
        <v>5020.1661300000005</v>
      </c>
      <c r="G124" s="287">
        <f t="shared" si="20"/>
        <v>5378.7494250000009</v>
      </c>
      <c r="H124" s="287">
        <f t="shared" si="20"/>
        <v>5737.3327200000003</v>
      </c>
    </row>
    <row r="125" spans="1:12">
      <c r="A125" s="97" t="str">
        <f t="shared" si="19"/>
        <v>Black Gram/Udid</v>
      </c>
      <c r="B125" s="287">
        <f t="shared" si="20"/>
        <v>0</v>
      </c>
      <c r="C125" s="287">
        <f t="shared" si="20"/>
        <v>0</v>
      </c>
      <c r="D125" s="287">
        <f t="shared" si="20"/>
        <v>0</v>
      </c>
      <c r="E125" s="287">
        <f t="shared" si="20"/>
        <v>0</v>
      </c>
      <c r="F125" s="287">
        <f t="shared" si="20"/>
        <v>0</v>
      </c>
      <c r="G125" s="287">
        <f t="shared" si="20"/>
        <v>0</v>
      </c>
      <c r="H125" s="287">
        <f t="shared" si="20"/>
        <v>0</v>
      </c>
    </row>
    <row r="126" spans="1:12">
      <c r="A126" s="97" t="str">
        <f t="shared" si="19"/>
        <v>Bajra</v>
      </c>
      <c r="B126" s="287">
        <f t="shared" si="20"/>
        <v>0</v>
      </c>
      <c r="C126" s="287">
        <f t="shared" si="20"/>
        <v>0</v>
      </c>
      <c r="D126" s="287">
        <f t="shared" si="20"/>
        <v>0</v>
      </c>
      <c r="E126" s="287">
        <f t="shared" si="20"/>
        <v>0</v>
      </c>
      <c r="F126" s="287">
        <f t="shared" si="20"/>
        <v>0</v>
      </c>
      <c r="G126" s="287">
        <f t="shared" si="20"/>
        <v>0</v>
      </c>
      <c r="H126" s="287">
        <f t="shared" si="20"/>
        <v>0</v>
      </c>
    </row>
    <row r="127" spans="1:12">
      <c r="A127" s="97" t="str">
        <f t="shared" si="19"/>
        <v>Jawar</v>
      </c>
      <c r="B127" s="287">
        <f t="shared" si="20"/>
        <v>0</v>
      </c>
      <c r="C127" s="287">
        <f t="shared" si="20"/>
        <v>0</v>
      </c>
      <c r="D127" s="287">
        <f t="shared" si="20"/>
        <v>0</v>
      </c>
      <c r="E127" s="287">
        <f t="shared" si="20"/>
        <v>0</v>
      </c>
      <c r="F127" s="287">
        <f t="shared" si="20"/>
        <v>0</v>
      </c>
      <c r="G127" s="287">
        <f t="shared" si="20"/>
        <v>0</v>
      </c>
      <c r="H127" s="287">
        <f t="shared" si="20"/>
        <v>0</v>
      </c>
    </row>
    <row r="128" spans="1:12">
      <c r="A128" s="97" t="str">
        <f t="shared" si="19"/>
        <v>Sunflower</v>
      </c>
      <c r="B128" s="287">
        <f t="shared" si="20"/>
        <v>0</v>
      </c>
      <c r="C128" s="287">
        <f t="shared" si="20"/>
        <v>0</v>
      </c>
      <c r="D128" s="287">
        <f t="shared" si="20"/>
        <v>0</v>
      </c>
      <c r="E128" s="287">
        <f t="shared" si="20"/>
        <v>0</v>
      </c>
      <c r="F128" s="287">
        <f t="shared" si="20"/>
        <v>0</v>
      </c>
      <c r="G128" s="287">
        <f t="shared" si="20"/>
        <v>0</v>
      </c>
      <c r="H128" s="287">
        <f t="shared" si="20"/>
        <v>0</v>
      </c>
    </row>
    <row r="129" spans="1:8">
      <c r="A129" s="97" t="str">
        <f t="shared" si="19"/>
        <v>Wheat</v>
      </c>
      <c r="B129" s="287">
        <f t="shared" si="20"/>
        <v>0</v>
      </c>
      <c r="C129" s="287">
        <f t="shared" si="20"/>
        <v>0</v>
      </c>
      <c r="D129" s="287">
        <f t="shared" si="20"/>
        <v>0</v>
      </c>
      <c r="E129" s="287">
        <f t="shared" si="20"/>
        <v>0</v>
      </c>
      <c r="F129" s="287">
        <f t="shared" si="20"/>
        <v>0</v>
      </c>
      <c r="G129" s="287">
        <f t="shared" si="20"/>
        <v>0</v>
      </c>
      <c r="H129" s="287">
        <f t="shared" si="20"/>
        <v>0</v>
      </c>
    </row>
    <row r="130" spans="1:8">
      <c r="A130" s="97" t="str">
        <f t="shared" si="19"/>
        <v>Bengal Gram/Channa</v>
      </c>
      <c r="B130" s="287">
        <f t="shared" ref="B130:H139" si="21">B78-(B78*$G$6)</f>
        <v>1882.5622987499999</v>
      </c>
      <c r="C130" s="287">
        <f t="shared" si="21"/>
        <v>2070.818528625</v>
      </c>
      <c r="D130" s="287">
        <f t="shared" si="21"/>
        <v>2259.0747585000004</v>
      </c>
      <c r="E130" s="287">
        <f t="shared" si="21"/>
        <v>2447.3309883750003</v>
      </c>
      <c r="F130" s="287">
        <f t="shared" si="21"/>
        <v>2635.5872182500007</v>
      </c>
      <c r="G130" s="287">
        <f t="shared" si="21"/>
        <v>2823.8434481250006</v>
      </c>
      <c r="H130" s="287">
        <f t="shared" si="21"/>
        <v>3012.0996780000009</v>
      </c>
    </row>
    <row r="131" spans="1:8">
      <c r="A131" s="97" t="str">
        <f t="shared" si="19"/>
        <v>Jawar</v>
      </c>
      <c r="B131" s="287">
        <f t="shared" si="21"/>
        <v>8708.4514499999987</v>
      </c>
      <c r="C131" s="287">
        <f t="shared" si="21"/>
        <v>9579.2965949999998</v>
      </c>
      <c r="D131" s="287">
        <f t="shared" si="21"/>
        <v>10450.141740000001</v>
      </c>
      <c r="E131" s="287">
        <f t="shared" si="21"/>
        <v>11320.986885</v>
      </c>
      <c r="F131" s="287">
        <f t="shared" si="21"/>
        <v>12191.832030000001</v>
      </c>
      <c r="G131" s="287">
        <f t="shared" si="21"/>
        <v>13062.677175000001</v>
      </c>
      <c r="H131" s="287">
        <f t="shared" si="21"/>
        <v>13933.522320000002</v>
      </c>
    </row>
    <row r="132" spans="1:8">
      <c r="A132" s="97" t="str">
        <f t="shared" si="19"/>
        <v>Maize</v>
      </c>
      <c r="B132" s="287">
        <f t="shared" si="21"/>
        <v>0</v>
      </c>
      <c r="C132" s="287">
        <f t="shared" si="21"/>
        <v>0</v>
      </c>
      <c r="D132" s="287">
        <f t="shared" si="21"/>
        <v>0</v>
      </c>
      <c r="E132" s="287">
        <f t="shared" si="21"/>
        <v>0</v>
      </c>
      <c r="F132" s="287">
        <f t="shared" si="21"/>
        <v>0</v>
      </c>
      <c r="G132" s="287">
        <f t="shared" si="21"/>
        <v>0</v>
      </c>
      <c r="H132" s="287">
        <f t="shared" si="21"/>
        <v>0</v>
      </c>
    </row>
    <row r="133" spans="1:8">
      <c r="A133" s="97" t="str">
        <f t="shared" si="19"/>
        <v>Safflower</v>
      </c>
      <c r="B133" s="287">
        <f t="shared" si="21"/>
        <v>0</v>
      </c>
      <c r="C133" s="287">
        <f t="shared" si="21"/>
        <v>0</v>
      </c>
      <c r="D133" s="287">
        <f t="shared" si="21"/>
        <v>0</v>
      </c>
      <c r="E133" s="287">
        <f t="shared" si="21"/>
        <v>0</v>
      </c>
      <c r="F133" s="287">
        <f t="shared" si="21"/>
        <v>0</v>
      </c>
      <c r="G133" s="287">
        <f t="shared" si="21"/>
        <v>0</v>
      </c>
      <c r="H133" s="287">
        <f t="shared" si="21"/>
        <v>0</v>
      </c>
    </row>
    <row r="134" spans="1:8">
      <c r="A134" s="97">
        <f t="shared" si="19"/>
        <v>0</v>
      </c>
      <c r="B134" s="287">
        <f t="shared" si="21"/>
        <v>0</v>
      </c>
      <c r="C134" s="287">
        <f t="shared" si="21"/>
        <v>0</v>
      </c>
      <c r="D134" s="287">
        <f t="shared" si="21"/>
        <v>0</v>
      </c>
      <c r="E134" s="287">
        <f t="shared" si="21"/>
        <v>0</v>
      </c>
      <c r="F134" s="287">
        <f t="shared" si="21"/>
        <v>0</v>
      </c>
      <c r="G134" s="287">
        <f t="shared" si="21"/>
        <v>0</v>
      </c>
      <c r="H134" s="287">
        <f t="shared" si="21"/>
        <v>0</v>
      </c>
    </row>
    <row r="135" spans="1:8">
      <c r="A135" s="97">
        <f t="shared" si="19"/>
        <v>0</v>
      </c>
      <c r="B135" s="287">
        <f t="shared" si="21"/>
        <v>0</v>
      </c>
      <c r="C135" s="287">
        <f t="shared" si="21"/>
        <v>0</v>
      </c>
      <c r="D135" s="287">
        <f t="shared" si="21"/>
        <v>0</v>
      </c>
      <c r="E135" s="287">
        <f t="shared" si="21"/>
        <v>0</v>
      </c>
      <c r="F135" s="287">
        <f t="shared" si="21"/>
        <v>0</v>
      </c>
      <c r="G135" s="287">
        <f t="shared" si="21"/>
        <v>0</v>
      </c>
      <c r="H135" s="287">
        <f t="shared" si="21"/>
        <v>0</v>
      </c>
    </row>
    <row r="136" spans="1:8">
      <c r="A136" s="97">
        <f t="shared" si="19"/>
        <v>0</v>
      </c>
      <c r="B136" s="287">
        <f t="shared" si="21"/>
        <v>0</v>
      </c>
      <c r="C136" s="287">
        <f t="shared" si="21"/>
        <v>0</v>
      </c>
      <c r="D136" s="287">
        <f t="shared" si="21"/>
        <v>0</v>
      </c>
      <c r="E136" s="287">
        <f t="shared" si="21"/>
        <v>0</v>
      </c>
      <c r="F136" s="287">
        <f t="shared" si="21"/>
        <v>0</v>
      </c>
      <c r="G136" s="287">
        <f t="shared" si="21"/>
        <v>0</v>
      </c>
      <c r="H136" s="287">
        <f t="shared" si="21"/>
        <v>0</v>
      </c>
    </row>
    <row r="137" spans="1:8">
      <c r="A137" s="97" t="str">
        <f t="shared" si="19"/>
        <v>Maize</v>
      </c>
      <c r="B137" s="287">
        <f t="shared" si="21"/>
        <v>2305.1783249999999</v>
      </c>
      <c r="C137" s="287">
        <f t="shared" si="21"/>
        <v>2535.6961575000005</v>
      </c>
      <c r="D137" s="287">
        <f t="shared" si="21"/>
        <v>2766.2139900000002</v>
      </c>
      <c r="E137" s="287">
        <f t="shared" si="21"/>
        <v>2996.7318225000008</v>
      </c>
      <c r="F137" s="287">
        <f t="shared" si="21"/>
        <v>3227.2496550000005</v>
      </c>
      <c r="G137" s="287">
        <f t="shared" si="21"/>
        <v>3457.7674875000012</v>
      </c>
      <c r="H137" s="287">
        <f t="shared" si="21"/>
        <v>3688.2853200000018</v>
      </c>
    </row>
    <row r="138" spans="1:8">
      <c r="A138" s="97">
        <f t="shared" si="19"/>
        <v>0</v>
      </c>
      <c r="B138" s="287">
        <f t="shared" si="21"/>
        <v>0</v>
      </c>
      <c r="C138" s="287">
        <f t="shared" si="21"/>
        <v>0</v>
      </c>
      <c r="D138" s="287">
        <f t="shared" si="21"/>
        <v>0</v>
      </c>
      <c r="E138" s="287">
        <f t="shared" si="21"/>
        <v>0</v>
      </c>
      <c r="F138" s="287">
        <f t="shared" si="21"/>
        <v>0</v>
      </c>
      <c r="G138" s="287">
        <f t="shared" si="21"/>
        <v>0</v>
      </c>
      <c r="H138" s="287">
        <f t="shared" si="21"/>
        <v>0</v>
      </c>
    </row>
    <row r="139" spans="1:8">
      <c r="A139" s="97">
        <f t="shared" si="19"/>
        <v>0</v>
      </c>
      <c r="B139" s="287">
        <f t="shared" si="21"/>
        <v>0</v>
      </c>
      <c r="C139" s="287">
        <f t="shared" si="21"/>
        <v>0</v>
      </c>
      <c r="D139" s="287">
        <f t="shared" si="21"/>
        <v>0</v>
      </c>
      <c r="E139" s="287">
        <f t="shared" si="21"/>
        <v>0</v>
      </c>
      <c r="F139" s="287">
        <f t="shared" si="21"/>
        <v>0</v>
      </c>
      <c r="G139" s="287">
        <f t="shared" si="21"/>
        <v>0</v>
      </c>
      <c r="H139" s="287">
        <f t="shared" si="21"/>
        <v>0</v>
      </c>
    </row>
    <row r="140" spans="1:8">
      <c r="A140" s="97">
        <f t="shared" si="19"/>
        <v>0</v>
      </c>
      <c r="B140" s="287">
        <f t="shared" ref="B140:H141" si="22">B88-(B88*$G$6)</f>
        <v>0</v>
      </c>
      <c r="C140" s="287">
        <f t="shared" si="22"/>
        <v>0</v>
      </c>
      <c r="D140" s="287">
        <f t="shared" si="22"/>
        <v>0</v>
      </c>
      <c r="E140" s="287">
        <f t="shared" si="22"/>
        <v>0</v>
      </c>
      <c r="F140" s="287">
        <f t="shared" si="22"/>
        <v>0</v>
      </c>
      <c r="G140" s="287">
        <f t="shared" si="22"/>
        <v>0</v>
      </c>
      <c r="H140" s="287">
        <f t="shared" si="22"/>
        <v>0</v>
      </c>
    </row>
    <row r="141" spans="1:8">
      <c r="A141" s="97">
        <f t="shared" si="19"/>
        <v>0</v>
      </c>
      <c r="B141" s="287">
        <f t="shared" si="22"/>
        <v>0</v>
      </c>
      <c r="C141" s="287">
        <f t="shared" si="22"/>
        <v>0</v>
      </c>
      <c r="D141" s="287">
        <f t="shared" si="22"/>
        <v>0</v>
      </c>
      <c r="E141" s="287">
        <f t="shared" si="22"/>
        <v>0</v>
      </c>
      <c r="F141" s="287">
        <f t="shared" si="22"/>
        <v>0</v>
      </c>
      <c r="G141" s="287">
        <f t="shared" si="22"/>
        <v>0</v>
      </c>
      <c r="H141" s="287">
        <f t="shared" si="22"/>
        <v>0</v>
      </c>
    </row>
    <row r="142" spans="1:8" hidden="1">
      <c r="A142" s="97"/>
      <c r="B142" s="287"/>
      <c r="C142" s="287"/>
      <c r="D142" s="287"/>
      <c r="E142" s="287"/>
      <c r="F142" s="287"/>
      <c r="G142" s="287"/>
      <c r="H142" s="287"/>
    </row>
    <row r="143" spans="1:8" hidden="1">
      <c r="A143" s="99" t="str">
        <f t="shared" ref="A143:A161" si="23">A91</f>
        <v>Fruit  &amp; Vegetables Crop Production Details</v>
      </c>
      <c r="B143" s="287"/>
      <c r="C143" s="287"/>
      <c r="D143" s="287"/>
      <c r="E143" s="287"/>
      <c r="F143" s="287"/>
      <c r="G143" s="287"/>
      <c r="H143" s="287"/>
    </row>
    <row r="144" spans="1:8" hidden="1">
      <c r="A144" s="97" t="str">
        <f t="shared" si="23"/>
        <v>Onion</v>
      </c>
      <c r="B144" s="287">
        <f t="shared" ref="B144:H153" si="24">B92-(B92*$G$7)</f>
        <v>0</v>
      </c>
      <c r="C144" s="287">
        <f t="shared" si="24"/>
        <v>0</v>
      </c>
      <c r="D144" s="287">
        <f t="shared" si="24"/>
        <v>0</v>
      </c>
      <c r="E144" s="287">
        <f t="shared" si="24"/>
        <v>0</v>
      </c>
      <c r="F144" s="287">
        <f t="shared" si="24"/>
        <v>0</v>
      </c>
      <c r="G144" s="287">
        <f t="shared" si="24"/>
        <v>0</v>
      </c>
      <c r="H144" s="287">
        <f t="shared" si="24"/>
        <v>0</v>
      </c>
    </row>
    <row r="145" spans="1:8" hidden="1">
      <c r="A145" s="97" t="str">
        <f t="shared" si="23"/>
        <v>Tomato</v>
      </c>
      <c r="B145" s="287">
        <f t="shared" si="24"/>
        <v>0</v>
      </c>
      <c r="C145" s="287">
        <f t="shared" si="24"/>
        <v>0</v>
      </c>
      <c r="D145" s="287">
        <f t="shared" si="24"/>
        <v>0</v>
      </c>
      <c r="E145" s="287">
        <f t="shared" si="24"/>
        <v>0</v>
      </c>
      <c r="F145" s="287">
        <f t="shared" si="24"/>
        <v>0</v>
      </c>
      <c r="G145" s="287">
        <f t="shared" si="24"/>
        <v>0</v>
      </c>
      <c r="H145" s="287">
        <f t="shared" si="24"/>
        <v>0</v>
      </c>
    </row>
    <row r="146" spans="1:8" hidden="1">
      <c r="A146" s="97" t="str">
        <f t="shared" si="23"/>
        <v>Okra</v>
      </c>
      <c r="B146" s="287">
        <f t="shared" si="24"/>
        <v>0</v>
      </c>
      <c r="C146" s="287">
        <f t="shared" si="24"/>
        <v>0</v>
      </c>
      <c r="D146" s="287">
        <f t="shared" si="24"/>
        <v>0</v>
      </c>
      <c r="E146" s="287">
        <f t="shared" si="24"/>
        <v>0</v>
      </c>
      <c r="F146" s="287">
        <f t="shared" si="24"/>
        <v>0</v>
      </c>
      <c r="G146" s="287">
        <f t="shared" si="24"/>
        <v>0</v>
      </c>
      <c r="H146" s="287">
        <f t="shared" si="24"/>
        <v>0</v>
      </c>
    </row>
    <row r="147" spans="1:8" hidden="1">
      <c r="A147" s="97" t="str">
        <f t="shared" si="23"/>
        <v>Chilli</v>
      </c>
      <c r="B147" s="287">
        <f t="shared" si="24"/>
        <v>0</v>
      </c>
      <c r="C147" s="287">
        <f t="shared" si="24"/>
        <v>0</v>
      </c>
      <c r="D147" s="287">
        <f t="shared" si="24"/>
        <v>0</v>
      </c>
      <c r="E147" s="287">
        <f t="shared" si="24"/>
        <v>0</v>
      </c>
      <c r="F147" s="287">
        <f t="shared" si="24"/>
        <v>0</v>
      </c>
      <c r="G147" s="287">
        <f t="shared" si="24"/>
        <v>0</v>
      </c>
      <c r="H147" s="287">
        <f t="shared" si="24"/>
        <v>0</v>
      </c>
    </row>
    <row r="148" spans="1:8" hidden="1">
      <c r="A148" s="97" t="str">
        <f t="shared" si="23"/>
        <v>Potato</v>
      </c>
      <c r="B148" s="287">
        <f t="shared" si="24"/>
        <v>0</v>
      </c>
      <c r="C148" s="287">
        <f t="shared" si="24"/>
        <v>0</v>
      </c>
      <c r="D148" s="287">
        <f t="shared" si="24"/>
        <v>0</v>
      </c>
      <c r="E148" s="287">
        <f t="shared" si="24"/>
        <v>0</v>
      </c>
      <c r="F148" s="287">
        <f t="shared" si="24"/>
        <v>0</v>
      </c>
      <c r="G148" s="287">
        <f t="shared" si="24"/>
        <v>0</v>
      </c>
      <c r="H148" s="287">
        <f t="shared" si="24"/>
        <v>0</v>
      </c>
    </row>
    <row r="149" spans="1:8" hidden="1">
      <c r="A149" s="97">
        <f t="shared" si="23"/>
        <v>0</v>
      </c>
      <c r="B149" s="287">
        <f t="shared" si="24"/>
        <v>0</v>
      </c>
      <c r="C149" s="287">
        <f t="shared" si="24"/>
        <v>0</v>
      </c>
      <c r="D149" s="287">
        <f t="shared" si="24"/>
        <v>0</v>
      </c>
      <c r="E149" s="287">
        <f t="shared" si="24"/>
        <v>0</v>
      </c>
      <c r="F149" s="287">
        <f t="shared" si="24"/>
        <v>0</v>
      </c>
      <c r="G149" s="287">
        <f t="shared" si="24"/>
        <v>0</v>
      </c>
      <c r="H149" s="287">
        <f t="shared" si="24"/>
        <v>0</v>
      </c>
    </row>
    <row r="150" spans="1:8" hidden="1">
      <c r="A150" s="97">
        <f t="shared" si="23"/>
        <v>0</v>
      </c>
      <c r="B150" s="287">
        <f t="shared" si="24"/>
        <v>0</v>
      </c>
      <c r="C150" s="287">
        <f t="shared" si="24"/>
        <v>0</v>
      </c>
      <c r="D150" s="287">
        <f t="shared" si="24"/>
        <v>0</v>
      </c>
      <c r="E150" s="287">
        <f t="shared" si="24"/>
        <v>0</v>
      </c>
      <c r="F150" s="287">
        <f t="shared" si="24"/>
        <v>0</v>
      </c>
      <c r="G150" s="287">
        <f t="shared" si="24"/>
        <v>0</v>
      </c>
      <c r="H150" s="287">
        <f t="shared" si="24"/>
        <v>0</v>
      </c>
    </row>
    <row r="151" spans="1:8" hidden="1">
      <c r="A151" s="97">
        <f t="shared" si="23"/>
        <v>0</v>
      </c>
      <c r="B151" s="287">
        <f t="shared" si="24"/>
        <v>0</v>
      </c>
      <c r="C151" s="287">
        <f t="shared" si="24"/>
        <v>0</v>
      </c>
      <c r="D151" s="287">
        <f t="shared" si="24"/>
        <v>0</v>
      </c>
      <c r="E151" s="287">
        <f t="shared" si="24"/>
        <v>0</v>
      </c>
      <c r="F151" s="287">
        <f t="shared" si="24"/>
        <v>0</v>
      </c>
      <c r="G151" s="287">
        <f t="shared" si="24"/>
        <v>0</v>
      </c>
      <c r="H151" s="287">
        <f t="shared" si="24"/>
        <v>0</v>
      </c>
    </row>
    <row r="152" spans="1:8" hidden="1">
      <c r="A152" s="97">
        <f t="shared" si="23"/>
        <v>0</v>
      </c>
      <c r="B152" s="287">
        <f t="shared" si="24"/>
        <v>0</v>
      </c>
      <c r="C152" s="287">
        <f t="shared" si="24"/>
        <v>0</v>
      </c>
      <c r="D152" s="287">
        <f t="shared" si="24"/>
        <v>0</v>
      </c>
      <c r="E152" s="287">
        <f t="shared" si="24"/>
        <v>0</v>
      </c>
      <c r="F152" s="287">
        <f t="shared" si="24"/>
        <v>0</v>
      </c>
      <c r="G152" s="287">
        <f t="shared" si="24"/>
        <v>0</v>
      </c>
      <c r="H152" s="287">
        <f t="shared" si="24"/>
        <v>0</v>
      </c>
    </row>
    <row r="153" spans="1:8" hidden="1">
      <c r="A153" s="97" t="str">
        <f t="shared" si="23"/>
        <v>Onion</v>
      </c>
      <c r="B153" s="287">
        <f t="shared" si="24"/>
        <v>0</v>
      </c>
      <c r="C153" s="287">
        <f t="shared" si="24"/>
        <v>0</v>
      </c>
      <c r="D153" s="287">
        <f t="shared" si="24"/>
        <v>0</v>
      </c>
      <c r="E153" s="287">
        <f t="shared" si="24"/>
        <v>0</v>
      </c>
      <c r="F153" s="287">
        <f t="shared" si="24"/>
        <v>0</v>
      </c>
      <c r="G153" s="287">
        <f t="shared" si="24"/>
        <v>0</v>
      </c>
      <c r="H153" s="287">
        <f t="shared" si="24"/>
        <v>0</v>
      </c>
    </row>
    <row r="154" spans="1:8" hidden="1">
      <c r="A154" s="97" t="str">
        <f t="shared" si="23"/>
        <v>Tomato</v>
      </c>
      <c r="B154" s="287">
        <f t="shared" ref="B154:H161" si="25">B102-(B102*$G$7)</f>
        <v>0</v>
      </c>
      <c r="C154" s="287">
        <f t="shared" si="25"/>
        <v>0</v>
      </c>
      <c r="D154" s="287">
        <f t="shared" si="25"/>
        <v>0</v>
      </c>
      <c r="E154" s="287">
        <f t="shared" si="25"/>
        <v>0</v>
      </c>
      <c r="F154" s="287">
        <f t="shared" si="25"/>
        <v>0</v>
      </c>
      <c r="G154" s="287">
        <f t="shared" si="25"/>
        <v>0</v>
      </c>
      <c r="H154" s="287">
        <f t="shared" si="25"/>
        <v>0</v>
      </c>
    </row>
    <row r="155" spans="1:8" hidden="1">
      <c r="A155" s="97" t="str">
        <f t="shared" si="23"/>
        <v>Okra</v>
      </c>
      <c r="B155" s="287">
        <f t="shared" si="25"/>
        <v>0</v>
      </c>
      <c r="C155" s="287">
        <f t="shared" si="25"/>
        <v>0</v>
      </c>
      <c r="D155" s="287">
        <f t="shared" si="25"/>
        <v>0</v>
      </c>
      <c r="E155" s="287">
        <f t="shared" si="25"/>
        <v>0</v>
      </c>
      <c r="F155" s="287">
        <f t="shared" si="25"/>
        <v>0</v>
      </c>
      <c r="G155" s="287">
        <f t="shared" si="25"/>
        <v>0</v>
      </c>
      <c r="H155" s="287">
        <f t="shared" si="25"/>
        <v>0</v>
      </c>
    </row>
    <row r="156" spans="1:8" hidden="1">
      <c r="A156" s="97" t="str">
        <f t="shared" si="23"/>
        <v>Chilli</v>
      </c>
      <c r="B156" s="287">
        <f t="shared" si="25"/>
        <v>0</v>
      </c>
      <c r="C156" s="287">
        <f t="shared" si="25"/>
        <v>0</v>
      </c>
      <c r="D156" s="287">
        <f t="shared" si="25"/>
        <v>0</v>
      </c>
      <c r="E156" s="287">
        <f t="shared" si="25"/>
        <v>0</v>
      </c>
      <c r="F156" s="287">
        <f t="shared" si="25"/>
        <v>0</v>
      </c>
      <c r="G156" s="287">
        <f t="shared" si="25"/>
        <v>0</v>
      </c>
      <c r="H156" s="287">
        <f t="shared" si="25"/>
        <v>0</v>
      </c>
    </row>
    <row r="157" spans="1:8" hidden="1">
      <c r="A157" s="97" t="str">
        <f t="shared" si="23"/>
        <v>Brinjal</v>
      </c>
      <c r="B157" s="287">
        <f t="shared" si="25"/>
        <v>0</v>
      </c>
      <c r="C157" s="287">
        <f t="shared" si="25"/>
        <v>0</v>
      </c>
      <c r="D157" s="287">
        <f t="shared" si="25"/>
        <v>0</v>
      </c>
      <c r="E157" s="287">
        <f t="shared" si="25"/>
        <v>0</v>
      </c>
      <c r="F157" s="287">
        <f t="shared" si="25"/>
        <v>0</v>
      </c>
      <c r="G157" s="287">
        <f t="shared" si="25"/>
        <v>0</v>
      </c>
      <c r="H157" s="287">
        <f t="shared" si="25"/>
        <v>0</v>
      </c>
    </row>
    <row r="158" spans="1:8" hidden="1">
      <c r="A158" s="97">
        <f t="shared" si="23"/>
        <v>0</v>
      </c>
      <c r="B158" s="287">
        <f t="shared" si="25"/>
        <v>0</v>
      </c>
      <c r="C158" s="287">
        <f t="shared" si="25"/>
        <v>0</v>
      </c>
      <c r="D158" s="287">
        <f t="shared" si="25"/>
        <v>0</v>
      </c>
      <c r="E158" s="287">
        <f t="shared" si="25"/>
        <v>0</v>
      </c>
      <c r="F158" s="287">
        <f t="shared" si="25"/>
        <v>0</v>
      </c>
      <c r="G158" s="287">
        <f t="shared" si="25"/>
        <v>0</v>
      </c>
      <c r="H158" s="287">
        <f t="shared" si="25"/>
        <v>0</v>
      </c>
    </row>
    <row r="159" spans="1:8" hidden="1">
      <c r="A159" s="97">
        <f t="shared" si="23"/>
        <v>0</v>
      </c>
      <c r="B159" s="287">
        <f t="shared" si="25"/>
        <v>0</v>
      </c>
      <c r="C159" s="287">
        <f t="shared" si="25"/>
        <v>0</v>
      </c>
      <c r="D159" s="287">
        <f t="shared" si="25"/>
        <v>0</v>
      </c>
      <c r="E159" s="287">
        <f t="shared" si="25"/>
        <v>0</v>
      </c>
      <c r="F159" s="287">
        <f t="shared" si="25"/>
        <v>0</v>
      </c>
      <c r="G159" s="287">
        <f t="shared" si="25"/>
        <v>0</v>
      </c>
      <c r="H159" s="287">
        <f t="shared" si="25"/>
        <v>0</v>
      </c>
    </row>
    <row r="160" spans="1:8" hidden="1">
      <c r="A160" s="97">
        <f t="shared" si="23"/>
        <v>0</v>
      </c>
      <c r="B160" s="287">
        <f t="shared" si="25"/>
        <v>0</v>
      </c>
      <c r="C160" s="287">
        <f t="shared" si="25"/>
        <v>0</v>
      </c>
      <c r="D160" s="287">
        <f t="shared" si="25"/>
        <v>0</v>
      </c>
      <c r="E160" s="287">
        <f t="shared" si="25"/>
        <v>0</v>
      </c>
      <c r="F160" s="287">
        <f t="shared" si="25"/>
        <v>0</v>
      </c>
      <c r="G160" s="287">
        <f t="shared" si="25"/>
        <v>0</v>
      </c>
      <c r="H160" s="287">
        <f t="shared" si="25"/>
        <v>0</v>
      </c>
    </row>
    <row r="161" spans="1:20" hidden="1">
      <c r="A161" s="97">
        <f t="shared" si="23"/>
        <v>0</v>
      </c>
      <c r="B161" s="287">
        <f t="shared" si="25"/>
        <v>0</v>
      </c>
      <c r="C161" s="287">
        <f t="shared" si="25"/>
        <v>0</v>
      </c>
      <c r="D161" s="287">
        <f t="shared" si="25"/>
        <v>0</v>
      </c>
      <c r="E161" s="287">
        <f t="shared" si="25"/>
        <v>0</v>
      </c>
      <c r="F161" s="287">
        <f t="shared" si="25"/>
        <v>0</v>
      </c>
      <c r="G161" s="287">
        <f t="shared" si="25"/>
        <v>0</v>
      </c>
      <c r="H161" s="287">
        <f t="shared" si="25"/>
        <v>0</v>
      </c>
    </row>
    <row r="162" spans="1:20" hidden="1">
      <c r="A162" s="97">
        <f t="shared" ref="A162:A165" si="26">A110</f>
        <v>0</v>
      </c>
      <c r="B162" s="287">
        <f t="shared" ref="B162:H162" si="27">B110-(B110*$G$7)</f>
        <v>0</v>
      </c>
      <c r="C162" s="287">
        <f t="shared" si="27"/>
        <v>0</v>
      </c>
      <c r="D162" s="287">
        <f t="shared" si="27"/>
        <v>0</v>
      </c>
      <c r="E162" s="287">
        <f t="shared" si="27"/>
        <v>0</v>
      </c>
      <c r="F162" s="287">
        <f t="shared" si="27"/>
        <v>0</v>
      </c>
      <c r="G162" s="287">
        <f t="shared" si="27"/>
        <v>0</v>
      </c>
      <c r="H162" s="287">
        <f t="shared" si="27"/>
        <v>0</v>
      </c>
    </row>
    <row r="163" spans="1:20" hidden="1">
      <c r="A163" s="97">
        <f t="shared" si="26"/>
        <v>0</v>
      </c>
      <c r="B163" s="287">
        <f t="shared" ref="B163:H163" si="28">B111-(B111*$G$7)</f>
        <v>0</v>
      </c>
      <c r="C163" s="287">
        <f t="shared" si="28"/>
        <v>0</v>
      </c>
      <c r="D163" s="287">
        <f t="shared" si="28"/>
        <v>0</v>
      </c>
      <c r="E163" s="287">
        <f t="shared" si="28"/>
        <v>0</v>
      </c>
      <c r="F163" s="287">
        <f t="shared" si="28"/>
        <v>0</v>
      </c>
      <c r="G163" s="287">
        <f t="shared" si="28"/>
        <v>0</v>
      </c>
      <c r="H163" s="287">
        <f t="shared" si="28"/>
        <v>0</v>
      </c>
    </row>
    <row r="164" spans="1:20" hidden="1">
      <c r="A164" s="97">
        <f t="shared" si="26"/>
        <v>0</v>
      </c>
      <c r="B164" s="287">
        <f t="shared" ref="B164:H165" si="29">B112-(B112*$G$7)</f>
        <v>0</v>
      </c>
      <c r="C164" s="287">
        <f t="shared" si="29"/>
        <v>0</v>
      </c>
      <c r="D164" s="287">
        <f t="shared" si="29"/>
        <v>0</v>
      </c>
      <c r="E164" s="287">
        <f t="shared" si="29"/>
        <v>0</v>
      </c>
      <c r="F164" s="287">
        <f t="shared" si="29"/>
        <v>0</v>
      </c>
      <c r="G164" s="287">
        <f t="shared" si="29"/>
        <v>0</v>
      </c>
      <c r="H164" s="287">
        <f t="shared" si="29"/>
        <v>0</v>
      </c>
    </row>
    <row r="165" spans="1:20" hidden="1">
      <c r="A165" s="97" t="str">
        <f t="shared" si="26"/>
        <v>Pomegranate</v>
      </c>
      <c r="B165" s="287">
        <f t="shared" si="29"/>
        <v>0</v>
      </c>
      <c r="C165" s="287">
        <f t="shared" ref="C165:H168" si="30">C113-(C113*$G$7)</f>
        <v>0</v>
      </c>
      <c r="D165" s="287">
        <f t="shared" si="30"/>
        <v>0</v>
      </c>
      <c r="E165" s="287">
        <f t="shared" si="30"/>
        <v>0</v>
      </c>
      <c r="F165" s="287">
        <f t="shared" si="30"/>
        <v>0</v>
      </c>
      <c r="G165" s="287">
        <f t="shared" si="30"/>
        <v>0</v>
      </c>
      <c r="H165" s="287">
        <f t="shared" si="30"/>
        <v>0</v>
      </c>
    </row>
    <row r="166" spans="1:20" hidden="1">
      <c r="A166" s="97" t="str">
        <f>A114</f>
        <v>Custard Apple</v>
      </c>
      <c r="B166" s="287">
        <f>B114-(B114*$G$7)</f>
        <v>0</v>
      </c>
      <c r="C166" s="287">
        <f t="shared" si="30"/>
        <v>0</v>
      </c>
      <c r="D166" s="287">
        <f t="shared" si="30"/>
        <v>0</v>
      </c>
      <c r="E166" s="287">
        <f t="shared" si="30"/>
        <v>0</v>
      </c>
      <c r="F166" s="287">
        <f t="shared" si="30"/>
        <v>0</v>
      </c>
      <c r="G166" s="287">
        <f t="shared" si="30"/>
        <v>0</v>
      </c>
      <c r="H166" s="287">
        <f t="shared" si="30"/>
        <v>0</v>
      </c>
    </row>
    <row r="167" spans="1:20" hidden="1">
      <c r="A167" s="97" t="str">
        <f>A115</f>
        <v>Guava</v>
      </c>
      <c r="B167" s="287">
        <f>B115-(B115*$G$7)</f>
        <v>0</v>
      </c>
      <c r="C167" s="287">
        <f t="shared" si="30"/>
        <v>0</v>
      </c>
      <c r="D167" s="287">
        <f t="shared" si="30"/>
        <v>0</v>
      </c>
      <c r="E167" s="287">
        <f t="shared" si="30"/>
        <v>0</v>
      </c>
      <c r="F167" s="287">
        <f t="shared" si="30"/>
        <v>0</v>
      </c>
      <c r="G167" s="287">
        <f t="shared" si="30"/>
        <v>0</v>
      </c>
      <c r="H167" s="287">
        <f t="shared" si="30"/>
        <v>0</v>
      </c>
    </row>
    <row r="168" spans="1:20" hidden="1">
      <c r="A168" s="97" t="str">
        <f>A116</f>
        <v>Citrus</v>
      </c>
      <c r="B168" s="287">
        <f>B116-(B116*$G$7)</f>
        <v>0</v>
      </c>
      <c r="C168" s="287">
        <f t="shared" si="30"/>
        <v>0</v>
      </c>
      <c r="D168" s="287">
        <f t="shared" si="30"/>
        <v>0</v>
      </c>
      <c r="E168" s="287">
        <f t="shared" si="30"/>
        <v>0</v>
      </c>
      <c r="F168" s="287">
        <f t="shared" si="30"/>
        <v>0</v>
      </c>
      <c r="G168" s="287">
        <f t="shared" si="30"/>
        <v>0</v>
      </c>
      <c r="H168" s="287">
        <f t="shared" si="30"/>
        <v>0</v>
      </c>
    </row>
    <row r="169" spans="1:20" hidden="1">
      <c r="A169" s="185"/>
    </row>
    <row r="170" spans="1:20" ht="18.75">
      <c r="A170" s="419" t="s">
        <v>530</v>
      </c>
      <c r="B170" s="419"/>
      <c r="C170" s="419"/>
      <c r="D170" s="419"/>
      <c r="E170" s="419"/>
      <c r="F170" s="419"/>
      <c r="G170" s="419"/>
      <c r="H170" s="419"/>
      <c r="I170" s="419"/>
      <c r="J170" s="419"/>
    </row>
    <row r="171" spans="1:20">
      <c r="A171" s="16"/>
      <c r="B171" s="16"/>
      <c r="C171" s="16"/>
      <c r="D171" s="16"/>
      <c r="E171" s="16"/>
      <c r="F171" s="16"/>
      <c r="G171" s="16"/>
      <c r="H171" s="16"/>
    </row>
    <row r="172" spans="1:20">
      <c r="A172" s="195"/>
      <c r="B172" s="195"/>
      <c r="C172" s="195"/>
      <c r="D172" s="196">
        <v>1</v>
      </c>
      <c r="E172" s="197">
        <f>(D172*5%)+D172</f>
        <v>1.05</v>
      </c>
      <c r="F172" s="197">
        <f t="shared" ref="F172:J172" si="31">(E172*5%)+E172</f>
        <v>1.1025</v>
      </c>
      <c r="G172" s="197">
        <f t="shared" si="31"/>
        <v>1.1576250000000001</v>
      </c>
      <c r="H172" s="197">
        <f t="shared" si="31"/>
        <v>1.2155062500000002</v>
      </c>
      <c r="I172" s="197">
        <f t="shared" si="31"/>
        <v>1.2762815625000004</v>
      </c>
      <c r="J172" s="197">
        <f t="shared" si="31"/>
        <v>1.3400956406250004</v>
      </c>
      <c r="K172" s="92"/>
      <c r="L172" s="92"/>
      <c r="M172" s="92"/>
      <c r="N172" s="92"/>
      <c r="O172" s="92"/>
      <c r="P172" s="92"/>
      <c r="Q172" s="92"/>
      <c r="R172" s="92"/>
      <c r="S172" s="92"/>
      <c r="T172" s="92"/>
    </row>
    <row r="173" spans="1:20">
      <c r="A173" s="92"/>
      <c r="B173" s="92"/>
      <c r="C173" s="92"/>
      <c r="D173" s="92"/>
      <c r="E173" s="92"/>
      <c r="F173" s="92"/>
      <c r="G173" s="92"/>
      <c r="H173" s="92"/>
      <c r="I173" s="92"/>
      <c r="J173" s="92"/>
      <c r="K173" s="92"/>
      <c r="L173" s="92"/>
      <c r="M173" s="92"/>
      <c r="N173" s="92"/>
      <c r="O173" s="92"/>
      <c r="P173" s="92"/>
      <c r="Q173" s="92"/>
      <c r="R173" s="92"/>
      <c r="S173" s="92"/>
      <c r="T173" s="92"/>
    </row>
    <row r="174" spans="1:20">
      <c r="A174" s="92"/>
      <c r="B174" s="92"/>
      <c r="C174" s="92"/>
      <c r="D174" s="177"/>
      <c r="E174" s="177"/>
      <c r="F174" s="177"/>
      <c r="G174" s="177"/>
      <c r="H174" s="177"/>
      <c r="I174" s="177"/>
      <c r="J174" s="177"/>
      <c r="K174" s="92"/>
      <c r="L174" s="92"/>
    </row>
    <row r="175" spans="1:20">
      <c r="A175" s="80" t="s">
        <v>0</v>
      </c>
      <c r="B175" s="80"/>
      <c r="C175" s="80" t="s">
        <v>151</v>
      </c>
      <c r="D175" s="81" t="s">
        <v>2</v>
      </c>
      <c r="E175" s="81" t="s">
        <v>3</v>
      </c>
      <c r="F175" s="81" t="s">
        <v>4</v>
      </c>
      <c r="G175" s="81" t="s">
        <v>5</v>
      </c>
      <c r="H175" s="81" t="s">
        <v>6</v>
      </c>
      <c r="I175" s="81" t="s">
        <v>168</v>
      </c>
      <c r="J175" s="81" t="s">
        <v>167</v>
      </c>
      <c r="K175" s="92"/>
      <c r="L175" s="92"/>
    </row>
    <row r="176" spans="1:20">
      <c r="A176" s="95"/>
      <c r="B176" s="95"/>
      <c r="C176" s="95"/>
      <c r="D176" s="93"/>
      <c r="E176" s="93"/>
      <c r="F176" s="93"/>
      <c r="G176" s="93"/>
      <c r="H176" s="93"/>
      <c r="I176" s="93"/>
      <c r="J176" s="93"/>
      <c r="K176" s="92"/>
      <c r="L176" s="92"/>
    </row>
    <row r="177" spans="1:12">
      <c r="A177" s="95" t="s">
        <v>126</v>
      </c>
      <c r="B177" s="95"/>
      <c r="C177" s="95"/>
      <c r="D177" s="93"/>
      <c r="E177" s="93"/>
      <c r="F177" s="93"/>
      <c r="G177" s="93"/>
      <c r="H177" s="93"/>
      <c r="I177" s="93"/>
      <c r="J177" s="93"/>
      <c r="K177" s="92"/>
      <c r="L177" s="92"/>
    </row>
    <row r="178" spans="1:12">
      <c r="A178" s="93" t="str">
        <f t="shared" ref="A178:A198" si="32">A120</f>
        <v>Soybean</v>
      </c>
      <c r="B178" s="93" t="s">
        <v>340</v>
      </c>
      <c r="C178" s="252">
        <v>0</v>
      </c>
      <c r="D178" s="198">
        <f>(B120*(1-'5.Closing Stock &amp; W Capital'!$D$13))*C$178*D172</f>
        <v>0</v>
      </c>
      <c r="E178" s="198">
        <f>((C120*(1-'5.Closing Stock &amp; W Capital'!$D$13))+(B120*'5.Closing Stock &amp; W Capital'!$D$13))*$C178*E$172</f>
        <v>0</v>
      </c>
      <c r="F178" s="198">
        <f>((D120*(1-'5.Closing Stock &amp; W Capital'!$D$13))+(C120*'5.Closing Stock &amp; W Capital'!$D$13))*$C178*F$172</f>
        <v>0</v>
      </c>
      <c r="G178" s="198">
        <f>((E120*(1-'5.Closing Stock &amp; W Capital'!$D$13))+(D120*'5.Closing Stock &amp; W Capital'!$D$13))*$C178*G$172</f>
        <v>0</v>
      </c>
      <c r="H178" s="198">
        <f>((F120*(1-'5.Closing Stock &amp; W Capital'!$D$13))+(E120*'5.Closing Stock &amp; W Capital'!$D$13))*$C178*H$172</f>
        <v>0</v>
      </c>
      <c r="I178" s="198">
        <f>((G120*(1-'5.Closing Stock &amp; W Capital'!$D$13))+(F120*'5.Closing Stock &amp; W Capital'!$D$13))*$C178*I$172</f>
        <v>0</v>
      </c>
      <c r="J178" s="198">
        <f>((H120*(1-'5.Closing Stock &amp; W Capital'!$D$13))+(G120*'5.Closing Stock &amp; W Capital'!$D$13))*$C178*J$172</f>
        <v>0</v>
      </c>
      <c r="K178" s="92"/>
      <c r="L178" s="92"/>
    </row>
    <row r="179" spans="1:12">
      <c r="A179" s="93" t="str">
        <f t="shared" si="32"/>
        <v>Red Gram/Tur</v>
      </c>
      <c r="B179" s="93" t="s">
        <v>340</v>
      </c>
      <c r="C179" s="252">
        <v>6400</v>
      </c>
      <c r="D179" s="198">
        <f>(B121*(1-'5.Closing Stock &amp; W Capital'!$D$13))*$C179*D$172</f>
        <v>2610727.452</v>
      </c>
      <c r="E179" s="198">
        <f>((C121*(1-'5.Closing Stock &amp; W Capital'!$D$13))+(B121*'5.Closing Stock &amp; W Capital'!$D$13))*$C179*E$172</f>
        <v>3159667.2504600002</v>
      </c>
      <c r="F179" s="198">
        <f>((D121*(1-'5.Closing Stock &amp; W Capital'!$D$13))+(C121*'5.Closing Stock &amp; W Capital'!$D$13))*$C179*F$172</f>
        <v>3620632.4041230008</v>
      </c>
      <c r="G179" s="198">
        <f>((E121*(1-'5.Closing Stock &amp; W Capital'!$D$13))+(D121*'5.Closing Stock &amp; W Capital'!$D$13))*$C179*G$172</f>
        <v>4119794.9050261513</v>
      </c>
      <c r="H179" s="198">
        <f>((F121*(1-'5.Closing Stock &amp; W Capital'!$D$13))+(E121*'5.Closing Stock &amp; W Capital'!$D$13))*$C179*H$172</f>
        <v>4659822.0750093097</v>
      </c>
      <c r="I179" s="198">
        <f>((G121*(1-'5.Closing Stock &amp; W Capital'!$D$13))+(F121*'5.Closing Stock &amp; W Capital'!$D$13))*$C179*I$172</f>
        <v>5243552.4747282201</v>
      </c>
      <c r="J179" s="198">
        <f>((H121*(1-'5.Closing Stock &amp; W Capital'!$D$13))+(G121*'5.Closing Stock &amp; W Capital'!$D$13))*$C179*J$172</f>
        <v>5874006.3592314962</v>
      </c>
      <c r="K179" s="92"/>
      <c r="L179" s="92"/>
    </row>
    <row r="180" spans="1:12">
      <c r="A180" s="93" t="str">
        <f t="shared" si="32"/>
        <v>Paddy/Rice</v>
      </c>
      <c r="B180" s="93" t="s">
        <v>340</v>
      </c>
      <c r="C180" s="252"/>
      <c r="D180" s="198">
        <f>(B122*(1-'5.Closing Stock &amp; W Capital'!$D$13))*$C180*D$172</f>
        <v>0</v>
      </c>
      <c r="E180" s="198">
        <f>((C122*(1-'5.Closing Stock &amp; W Capital'!$D$13))+(B122*'5.Closing Stock &amp; W Capital'!$D$13))*$C180*E$172</f>
        <v>0</v>
      </c>
      <c r="F180" s="198">
        <f>((D122*(1-'5.Closing Stock &amp; W Capital'!$D$13))+(C122*'5.Closing Stock &amp; W Capital'!$D$13))*$C180*F$172</f>
        <v>0</v>
      </c>
      <c r="G180" s="198">
        <f>((E122*(1-'5.Closing Stock &amp; W Capital'!$D$13))+(D122*'5.Closing Stock &amp; W Capital'!$D$13))*$C180*G$172</f>
        <v>0</v>
      </c>
      <c r="H180" s="198">
        <f>((F122*(1-'5.Closing Stock &amp; W Capital'!$D$13))+(E122*'5.Closing Stock &amp; W Capital'!$D$13))*$C180*H$172</f>
        <v>0</v>
      </c>
      <c r="I180" s="198">
        <f>((G122*(1-'5.Closing Stock &amp; W Capital'!$D$13))+(F122*'5.Closing Stock &amp; W Capital'!$D$13))*$C180*I$172</f>
        <v>0</v>
      </c>
      <c r="J180" s="198">
        <f>((H122*(1-'5.Closing Stock &amp; W Capital'!$D$13))+(G122*'5.Closing Stock &amp; W Capital'!$D$13))*$C180*J$172</f>
        <v>0</v>
      </c>
      <c r="K180" s="92"/>
      <c r="L180" s="92"/>
    </row>
    <row r="181" spans="1:12">
      <c r="A181" s="93" t="str">
        <f t="shared" si="32"/>
        <v>Green Gram/ Moong</v>
      </c>
      <c r="B181" s="93" t="s">
        <v>340</v>
      </c>
      <c r="C181" s="252">
        <v>0</v>
      </c>
      <c r="D181" s="198">
        <f>(B123*(1-'5.Closing Stock &amp; W Capital'!$D$13))*$C181*D$172</f>
        <v>0</v>
      </c>
      <c r="E181" s="198">
        <f>((C123*(1-'5.Closing Stock &amp; W Capital'!$D$13))+(B123*'5.Closing Stock &amp; W Capital'!$D$13))*$C181*E$172</f>
        <v>0</v>
      </c>
      <c r="F181" s="198">
        <f>((D123*(1-'5.Closing Stock &amp; W Capital'!$D$13))+(C123*'5.Closing Stock &amp; W Capital'!$D$13))*$C181*F$172</f>
        <v>0</v>
      </c>
      <c r="G181" s="198">
        <f>((E123*(1-'5.Closing Stock &amp; W Capital'!$D$13))+(D123*'5.Closing Stock &amp; W Capital'!$D$13))*$C181*G$172</f>
        <v>0</v>
      </c>
      <c r="H181" s="198">
        <f>((F123*(1-'5.Closing Stock &amp; W Capital'!$D$13))+(E123*'5.Closing Stock &amp; W Capital'!$D$13))*$C181*H$172</f>
        <v>0</v>
      </c>
      <c r="I181" s="198">
        <f>((G123*(1-'5.Closing Stock &amp; W Capital'!$D$13))+(F123*'5.Closing Stock &amp; W Capital'!$D$13))*$C181*I$172</f>
        <v>0</v>
      </c>
      <c r="J181" s="198">
        <f>((H123*(1-'5.Closing Stock &amp; W Capital'!$D$13))+(G123*'5.Closing Stock &amp; W Capital'!$D$13))*$C181*J$172</f>
        <v>0</v>
      </c>
      <c r="K181" s="92"/>
      <c r="L181" s="92"/>
    </row>
    <row r="182" spans="1:12">
      <c r="A182" s="93" t="str">
        <f t="shared" si="32"/>
        <v>Maize</v>
      </c>
      <c r="B182" s="93" t="s">
        <v>340</v>
      </c>
      <c r="C182" s="252">
        <v>1980</v>
      </c>
      <c r="D182" s="198">
        <f>(B124*(1-'5.Closing Stock &amp; W Capital'!$D$13))*$C182*D$172</f>
        <v>6744951.7789499993</v>
      </c>
      <c r="E182" s="198">
        <f>((C124*(1-'5.Closing Stock &amp; W Capital'!$D$13))+(B124*'5.Closing Stock &amp; W Capital'!$D$13))*$C182*E$172</f>
        <v>8163166.6398397498</v>
      </c>
      <c r="F182" s="198">
        <f>((D124*(1-'5.Closing Stock &amp; W Capital'!$D$13))+(C124*'5.Closing Stock &amp; W Capital'!$D$13))*$C182*F$172</f>
        <v>9354094.3756519891</v>
      </c>
      <c r="G182" s="198">
        <f>((E124*(1-'5.Closing Stock &amp; W Capital'!$D$13))+(D124*'5.Closing Stock &amp; W Capital'!$D$13))*$C182*G$172</f>
        <v>10643706.968445851</v>
      </c>
      <c r="H182" s="198">
        <f>((F124*(1-'5.Closing Stock &amp; W Capital'!$D$13))+(E124*'5.Closing Stock &amp; W Capital'!$D$13))*$C182*H$172</f>
        <v>12038895.584579973</v>
      </c>
      <c r="I182" s="198">
        <f>((G124*(1-'5.Closing Stock &amp; W Capital'!$D$13))+(F124*'5.Closing Stock &amp; W Capital'!$D$13))*$C182*I$172</f>
        <v>13546993.794906387</v>
      </c>
      <c r="J182" s="198">
        <f>((H124*(1-'5.Closing Stock &amp; W Capital'!$D$13))+(G124*'5.Closing Stock &amp; W Capital'!$D$13))*$C182*J$172</f>
        <v>15175804.587303996</v>
      </c>
      <c r="K182" s="92"/>
      <c r="L182" s="92"/>
    </row>
    <row r="183" spans="1:12">
      <c r="A183" s="93" t="str">
        <f t="shared" si="32"/>
        <v>Black Gram/Udid</v>
      </c>
      <c r="B183" s="93" t="s">
        <v>340</v>
      </c>
      <c r="C183" s="252">
        <v>0</v>
      </c>
      <c r="D183" s="198">
        <f>(B125*(1-'5.Closing Stock &amp; W Capital'!$D$13))*$C183*D$172</f>
        <v>0</v>
      </c>
      <c r="E183" s="198">
        <f>((C125*(1-'5.Closing Stock &amp; W Capital'!$D$13))+(B125*'5.Closing Stock &amp; W Capital'!$D$13))*$C183*E$172</f>
        <v>0</v>
      </c>
      <c r="F183" s="198">
        <f>((D125*(1-'5.Closing Stock &amp; W Capital'!$D$13))+(C125*'5.Closing Stock &amp; W Capital'!$D$13))*$C183*F$172</f>
        <v>0</v>
      </c>
      <c r="G183" s="198">
        <f>((E125*(1-'5.Closing Stock &amp; W Capital'!$D$13))+(D125*'5.Closing Stock &amp; W Capital'!$D$13))*$C183*G$172</f>
        <v>0</v>
      </c>
      <c r="H183" s="198">
        <f>((F125*(1-'5.Closing Stock &amp; W Capital'!$D$13))+(E125*'5.Closing Stock &amp; W Capital'!$D$13))*$C183*H$172</f>
        <v>0</v>
      </c>
      <c r="I183" s="198">
        <f>((G125*(1-'5.Closing Stock &amp; W Capital'!$D$13))+(F125*'5.Closing Stock &amp; W Capital'!$D$13))*$C183*I$172</f>
        <v>0</v>
      </c>
      <c r="J183" s="198">
        <f>((H125*(1-'5.Closing Stock &amp; W Capital'!$D$13))+(G125*'5.Closing Stock &amp; W Capital'!$D$13))*$C183*J$172</f>
        <v>0</v>
      </c>
      <c r="K183" s="92"/>
      <c r="L183" s="92"/>
    </row>
    <row r="184" spans="1:12">
      <c r="A184" s="93" t="str">
        <f t="shared" si="32"/>
        <v>Bajra</v>
      </c>
      <c r="B184" s="93" t="s">
        <v>340</v>
      </c>
      <c r="C184" s="252">
        <v>0</v>
      </c>
      <c r="D184" s="198">
        <f>(B126*(1-'5.Closing Stock &amp; W Capital'!$D$13))*$C184*D$172</f>
        <v>0</v>
      </c>
      <c r="E184" s="198">
        <f>((C126*(1-'5.Closing Stock &amp; W Capital'!$D$13))+(B126*'5.Closing Stock &amp; W Capital'!$D$13))*$C184*E$172</f>
        <v>0</v>
      </c>
      <c r="F184" s="198">
        <f>((D126*(1-'5.Closing Stock &amp; W Capital'!$D$13))+(C126*'5.Closing Stock &amp; W Capital'!$D$13))*$C184*F$172</f>
        <v>0</v>
      </c>
      <c r="G184" s="198">
        <f>((E126*(1-'5.Closing Stock &amp; W Capital'!$D$13))+(D126*'5.Closing Stock &amp; W Capital'!$D$13))*$C184*G$172</f>
        <v>0</v>
      </c>
      <c r="H184" s="198">
        <f>((F126*(1-'5.Closing Stock &amp; W Capital'!$D$13))+(E126*'5.Closing Stock &amp; W Capital'!$D$13))*$C184*H$172</f>
        <v>0</v>
      </c>
      <c r="I184" s="198">
        <f>((G126*(1-'5.Closing Stock &amp; W Capital'!$D$13))+(F126*'5.Closing Stock &amp; W Capital'!$D$13))*$C184*I$172</f>
        <v>0</v>
      </c>
      <c r="J184" s="198">
        <f>((H126*(1-'5.Closing Stock &amp; W Capital'!$D$13))+(G126*'5.Closing Stock &amp; W Capital'!$D$13))*$C184*J$172</f>
        <v>0</v>
      </c>
      <c r="K184" s="92"/>
      <c r="L184" s="92"/>
    </row>
    <row r="185" spans="1:12">
      <c r="A185" s="93" t="str">
        <f t="shared" si="32"/>
        <v>Jawar</v>
      </c>
      <c r="B185" s="93" t="s">
        <v>340</v>
      </c>
      <c r="C185" s="252"/>
      <c r="D185" s="198">
        <f>(B127*(1-'5.Closing Stock &amp; W Capital'!$D$13))*$C185*D$172</f>
        <v>0</v>
      </c>
      <c r="E185" s="198">
        <f>((C127*(1-'5.Closing Stock &amp; W Capital'!$D$13))+(B127*'5.Closing Stock &amp; W Capital'!$D$13))*$C185*E$172</f>
        <v>0</v>
      </c>
      <c r="F185" s="198">
        <f>((D127*(1-'5.Closing Stock &amp; W Capital'!$D$13))+(C127*'5.Closing Stock &amp; W Capital'!$D$13))*$C185*F$172</f>
        <v>0</v>
      </c>
      <c r="G185" s="198">
        <f>((E127*(1-'5.Closing Stock &amp; W Capital'!$D$13))+(D127*'5.Closing Stock &amp; W Capital'!$D$13))*$C185*G$172</f>
        <v>0</v>
      </c>
      <c r="H185" s="198">
        <f>((F127*(1-'5.Closing Stock &amp; W Capital'!$D$13))+(E127*'5.Closing Stock &amp; W Capital'!$D$13))*$C185*H$172</f>
        <v>0</v>
      </c>
      <c r="I185" s="198">
        <f>((G127*(1-'5.Closing Stock &amp; W Capital'!$D$13))+(F127*'5.Closing Stock &amp; W Capital'!$D$13))*$C185*I$172</f>
        <v>0</v>
      </c>
      <c r="J185" s="198">
        <f>((H127*(1-'5.Closing Stock &amp; W Capital'!$D$13))+(G127*'5.Closing Stock &amp; W Capital'!$D$13))*$C185*J$172</f>
        <v>0</v>
      </c>
      <c r="K185" s="92"/>
      <c r="L185" s="92"/>
    </row>
    <row r="186" spans="1:12">
      <c r="A186" s="93" t="str">
        <f t="shared" si="32"/>
        <v>Sunflower</v>
      </c>
      <c r="B186" s="93" t="s">
        <v>340</v>
      </c>
      <c r="C186" s="252"/>
      <c r="D186" s="198">
        <f>(B128*(1-'5.Closing Stock &amp; W Capital'!$D$13))*$C186*D$172</f>
        <v>0</v>
      </c>
      <c r="E186" s="198">
        <f>((C128*(1-'5.Closing Stock &amp; W Capital'!$D$13))+(B128*'5.Closing Stock &amp; W Capital'!$D$13))*$C186*E$172</f>
        <v>0</v>
      </c>
      <c r="F186" s="198">
        <f>((D128*(1-'5.Closing Stock &amp; W Capital'!$D$13))+(C128*'5.Closing Stock &amp; W Capital'!$D$13))*$C186*F$172</f>
        <v>0</v>
      </c>
      <c r="G186" s="198">
        <f>((E128*(1-'5.Closing Stock &amp; W Capital'!$D$13))+(D128*'5.Closing Stock &amp; W Capital'!$D$13))*$C186*G$172</f>
        <v>0</v>
      </c>
      <c r="H186" s="198">
        <f>((F128*(1-'5.Closing Stock &amp; W Capital'!$D$13))+(E128*'5.Closing Stock &amp; W Capital'!$D$13))*$C186*H$172</f>
        <v>0</v>
      </c>
      <c r="I186" s="198">
        <f>((G128*(1-'5.Closing Stock &amp; W Capital'!$D$13))+(F128*'5.Closing Stock &amp; W Capital'!$D$13))*$C186*I$172</f>
        <v>0</v>
      </c>
      <c r="J186" s="198">
        <f>((H128*(1-'5.Closing Stock &amp; W Capital'!$D$13))+(G128*'5.Closing Stock &amp; W Capital'!$D$13))*$C186*J$172</f>
        <v>0</v>
      </c>
      <c r="K186" s="92"/>
      <c r="L186" s="92"/>
    </row>
    <row r="187" spans="1:12">
      <c r="A187" s="93" t="str">
        <f t="shared" si="32"/>
        <v>Wheat</v>
      </c>
      <c r="B187" s="93" t="s">
        <v>340</v>
      </c>
      <c r="C187" s="252"/>
      <c r="D187" s="198">
        <f>(B129*(1-'5.Closing Stock &amp; W Capital'!$D$13))*$C187*D$172</f>
        <v>0</v>
      </c>
      <c r="E187" s="198">
        <f>((C129*(1-'5.Closing Stock &amp; W Capital'!$D$13))+(B129*'5.Closing Stock &amp; W Capital'!$D$13))*$C187*E$172</f>
        <v>0</v>
      </c>
      <c r="F187" s="198">
        <f>((D129*(1-'5.Closing Stock &amp; W Capital'!$D$13))+(C129*'5.Closing Stock &amp; W Capital'!$D$13))*$C187*F$172</f>
        <v>0</v>
      </c>
      <c r="G187" s="198">
        <f>((E129*(1-'5.Closing Stock &amp; W Capital'!$D$13))+(D129*'5.Closing Stock &amp; W Capital'!$D$13))*$C187*G$172</f>
        <v>0</v>
      </c>
      <c r="H187" s="198">
        <f>((F129*(1-'5.Closing Stock &amp; W Capital'!$D$13))+(E129*'5.Closing Stock &amp; W Capital'!$D$13))*$C187*H$172</f>
        <v>0</v>
      </c>
      <c r="I187" s="198">
        <f>((G129*(1-'5.Closing Stock &amp; W Capital'!$D$13))+(F129*'5.Closing Stock &amp; W Capital'!$D$13))*$C187*I$172</f>
        <v>0</v>
      </c>
      <c r="J187" s="198">
        <f>((H129*(1-'5.Closing Stock &amp; W Capital'!$D$13))+(G129*'5.Closing Stock &amp; W Capital'!$D$13))*$C187*J$172</f>
        <v>0</v>
      </c>
      <c r="K187" s="92"/>
      <c r="L187" s="92"/>
    </row>
    <row r="188" spans="1:12">
      <c r="A188" s="93" t="str">
        <f t="shared" si="32"/>
        <v>Bengal Gram/Channa</v>
      </c>
      <c r="B188" s="93" t="s">
        <v>340</v>
      </c>
      <c r="C188" s="252">
        <v>0</v>
      </c>
      <c r="D188" s="198">
        <f>(B130*(1-'5.Closing Stock &amp; W Capital'!$D$13))*$C188*D$172</f>
        <v>0</v>
      </c>
      <c r="E188" s="198">
        <f>((C130*(1-'5.Closing Stock &amp; W Capital'!$D$13))+(B130*'5.Closing Stock &amp; W Capital'!$D$13))*$C188*E$172</f>
        <v>0</v>
      </c>
      <c r="F188" s="198">
        <f>((D130*(1-'5.Closing Stock &amp; W Capital'!$D$13))+(C130*'5.Closing Stock &amp; W Capital'!$D$13))*$C188*F$172</f>
        <v>0</v>
      </c>
      <c r="G188" s="198">
        <f>((E130*(1-'5.Closing Stock &amp; W Capital'!$D$13))+(D130*'5.Closing Stock &amp; W Capital'!$D$13))*$C188*G$172</f>
        <v>0</v>
      </c>
      <c r="H188" s="198">
        <f>((F130*(1-'5.Closing Stock &amp; W Capital'!$D$13))+(E130*'5.Closing Stock &amp; W Capital'!$D$13))*$C188*H$172</f>
        <v>0</v>
      </c>
      <c r="I188" s="198">
        <f>((G130*(1-'5.Closing Stock &amp; W Capital'!$D$13))+(F130*'5.Closing Stock &amp; W Capital'!$D$13))*$C188*I$172</f>
        <v>0</v>
      </c>
      <c r="J188" s="198">
        <f>((H130*(1-'5.Closing Stock &amp; W Capital'!$D$13))+(G130*'5.Closing Stock &amp; W Capital'!$D$13))*$C188*J$172</f>
        <v>0</v>
      </c>
      <c r="K188" s="92"/>
      <c r="L188" s="92"/>
    </row>
    <row r="189" spans="1:12">
      <c r="A189" s="93" t="str">
        <f t="shared" si="32"/>
        <v>Jawar</v>
      </c>
      <c r="B189" s="93" t="s">
        <v>340</v>
      </c>
      <c r="C189" s="252">
        <v>3000</v>
      </c>
      <c r="D189" s="198">
        <f>(B131*(1-'5.Closing Stock &amp; W Capital'!$D$13))*$C189*D$172</f>
        <v>24819086.632499997</v>
      </c>
      <c r="E189" s="198">
        <f>((C131*(1-'5.Closing Stock &amp; W Capital'!$D$13))+(B131*'5.Closing Stock &amp; W Capital'!$D$13))*$C189*E$172</f>
        <v>30037626.163912497</v>
      </c>
      <c r="F189" s="198">
        <f>((D131*(1-'5.Closing Stock &amp; W Capital'!$D$13))+(C131*'5.Closing Stock &amp; W Capital'!$D$13))*$C189*F$172</f>
        <v>34419827.789195634</v>
      </c>
      <c r="G189" s="198">
        <f>((E131*(1-'5.Closing Stock &amp; W Capital'!$D$13))+(D131*'5.Closing Stock &amp; W Capital'!$D$13))*$C189*G$172</f>
        <v>39165155.511597283</v>
      </c>
      <c r="H189" s="198">
        <f>((F131*(1-'5.Closing Stock &amp; W Capital'!$D$13))+(E131*'5.Closing Stock &amp; W Capital'!$D$13))*$C189*H$172</f>
        <v>44298966.436766125</v>
      </c>
      <c r="I189" s="198">
        <f>((G131*(1-'5.Closing Stock &amp; W Capital'!$D$13))+(F131*'5.Closing Stock &amp; W Capital'!$D$13))*$C189*I$172</f>
        <v>49848245.565672845</v>
      </c>
      <c r="J189" s="198">
        <f>((H131*(1-'5.Closing Stock &amp; W Capital'!$D$13))+(G131*'5.Closing Stock &amp; W Capital'!$D$13))*$C189*J$172</f>
        <v>55841705.19137834</v>
      </c>
      <c r="K189" s="92"/>
      <c r="L189" s="92"/>
    </row>
    <row r="190" spans="1:12">
      <c r="A190" s="93" t="str">
        <f t="shared" si="32"/>
        <v>Maize</v>
      </c>
      <c r="B190" s="93" t="s">
        <v>340</v>
      </c>
      <c r="C190" s="252">
        <v>0</v>
      </c>
      <c r="D190" s="198">
        <f>(B132*(1-'5.Closing Stock &amp; W Capital'!$D$13))*$C190*D$172</f>
        <v>0</v>
      </c>
      <c r="E190" s="198">
        <f>((C132*(1-'5.Closing Stock &amp; W Capital'!$D$13))+(B132*'5.Closing Stock &amp; W Capital'!$D$13))*$C190*E$172</f>
        <v>0</v>
      </c>
      <c r="F190" s="198">
        <f>((D132*(1-'5.Closing Stock &amp; W Capital'!$D$13))+(C132*'5.Closing Stock &amp; W Capital'!$D$13))*$C190*F$172</f>
        <v>0</v>
      </c>
      <c r="G190" s="198">
        <f>((E132*(1-'5.Closing Stock &amp; W Capital'!$D$13))+(D132*'5.Closing Stock &amp; W Capital'!$D$13))*$C190*G$172</f>
        <v>0</v>
      </c>
      <c r="H190" s="198">
        <f>((F132*(1-'5.Closing Stock &amp; W Capital'!$D$13))+(E132*'5.Closing Stock &amp; W Capital'!$D$13))*$C190*H$172</f>
        <v>0</v>
      </c>
      <c r="I190" s="198">
        <f>((G132*(1-'5.Closing Stock &amp; W Capital'!$D$13))+(F132*'5.Closing Stock &amp; W Capital'!$D$13))*$C190*I$172</f>
        <v>0</v>
      </c>
      <c r="J190" s="198">
        <f>((H132*(1-'5.Closing Stock &amp; W Capital'!$D$13))+(G132*'5.Closing Stock &amp; W Capital'!$D$13))*$C190*J$172</f>
        <v>0</v>
      </c>
      <c r="K190" s="92"/>
      <c r="L190" s="92"/>
    </row>
    <row r="191" spans="1:12">
      <c r="A191" s="93" t="str">
        <f t="shared" si="32"/>
        <v>Safflower</v>
      </c>
      <c r="B191" s="93" t="s">
        <v>340</v>
      </c>
      <c r="C191" s="252"/>
      <c r="D191" s="198">
        <f>(B133*(1-'5.Closing Stock &amp; W Capital'!$D$13))*$C191*D$172</f>
        <v>0</v>
      </c>
      <c r="E191" s="198">
        <f>((C133*(1-'5.Closing Stock &amp; W Capital'!$D$13))+(B133*'5.Closing Stock &amp; W Capital'!$D$13))*$C191*E$172</f>
        <v>0</v>
      </c>
      <c r="F191" s="198">
        <f>((D133*(1-'5.Closing Stock &amp; W Capital'!$D$13))+(C133*'5.Closing Stock &amp; W Capital'!$D$13))*$C191*F$172</f>
        <v>0</v>
      </c>
      <c r="G191" s="198">
        <f>((E133*(1-'5.Closing Stock &amp; W Capital'!$D$13))+(D133*'5.Closing Stock &amp; W Capital'!$D$13))*$C191*G$172</f>
        <v>0</v>
      </c>
      <c r="H191" s="198">
        <f>((F133*(1-'5.Closing Stock &amp; W Capital'!$D$13))+(E133*'5.Closing Stock &amp; W Capital'!$D$13))*$C191*H$172</f>
        <v>0</v>
      </c>
      <c r="I191" s="198">
        <f>((G133*(1-'5.Closing Stock &amp; W Capital'!$D$13))+(F133*'5.Closing Stock &amp; W Capital'!$D$13))*$C191*I$172</f>
        <v>0</v>
      </c>
      <c r="J191" s="198">
        <f>((H133*(1-'5.Closing Stock &amp; W Capital'!$D$13))+(G133*'5.Closing Stock &amp; W Capital'!$D$13))*$C191*J$172</f>
        <v>0</v>
      </c>
      <c r="K191" s="92"/>
      <c r="L191" s="92"/>
    </row>
    <row r="192" spans="1:12">
      <c r="A192" s="93">
        <f t="shared" si="32"/>
        <v>0</v>
      </c>
      <c r="B192" s="93" t="s">
        <v>340</v>
      </c>
      <c r="C192" s="252"/>
      <c r="D192" s="198">
        <f>(B134*(1-'5.Closing Stock &amp; W Capital'!$D$13))*$C192*D$172</f>
        <v>0</v>
      </c>
      <c r="E192" s="198">
        <f>((C134*(1-'5.Closing Stock &amp; W Capital'!$D$13))+(B134*'5.Closing Stock &amp; W Capital'!$D$13))*$C192*E$172</f>
        <v>0</v>
      </c>
      <c r="F192" s="198">
        <f>((D134*(1-'5.Closing Stock &amp; W Capital'!$D$13))+(C134*'5.Closing Stock &amp; W Capital'!$D$13))*$C192*F$172</f>
        <v>0</v>
      </c>
      <c r="G192" s="198">
        <f>((E134*(1-'5.Closing Stock &amp; W Capital'!$D$13))+(D134*'5.Closing Stock &amp; W Capital'!$D$13))*$C192*G$172</f>
        <v>0</v>
      </c>
      <c r="H192" s="198">
        <f>((F134*(1-'5.Closing Stock &amp; W Capital'!$D$13))+(E134*'5.Closing Stock &amp; W Capital'!$D$13))*$C192*H$172</f>
        <v>0</v>
      </c>
      <c r="I192" s="198">
        <f>((G134*(1-'5.Closing Stock &amp; W Capital'!$D$13))+(F134*'5.Closing Stock &amp; W Capital'!$D$13))*$C192*I$172</f>
        <v>0</v>
      </c>
      <c r="J192" s="198">
        <f>((H134*(1-'5.Closing Stock &amp; W Capital'!$D$13))+(G134*'5.Closing Stock &amp; W Capital'!$D$13))*$C192*J$172</f>
        <v>0</v>
      </c>
      <c r="K192" s="92"/>
      <c r="L192" s="92"/>
    </row>
    <row r="193" spans="1:12">
      <c r="A193" s="93">
        <f t="shared" si="32"/>
        <v>0</v>
      </c>
      <c r="B193" s="93" t="s">
        <v>340</v>
      </c>
      <c r="C193" s="252"/>
      <c r="D193" s="198">
        <f>(B135*(1-'5.Closing Stock &amp; W Capital'!$D$13))*$C193*D$172</f>
        <v>0</v>
      </c>
      <c r="E193" s="198">
        <f>((C135*(1-'5.Closing Stock &amp; W Capital'!$D$13))+(B135*'5.Closing Stock &amp; W Capital'!$D$13))*$C193*E$172</f>
        <v>0</v>
      </c>
      <c r="F193" s="198">
        <f>((D135*(1-'5.Closing Stock &amp; W Capital'!$D$13))+(C135*'5.Closing Stock &amp; W Capital'!$D$13))*$C193*F$172</f>
        <v>0</v>
      </c>
      <c r="G193" s="198">
        <f>((E135*(1-'5.Closing Stock &amp; W Capital'!$D$13))+(D135*'5.Closing Stock &amp; W Capital'!$D$13))*$C193*G$172</f>
        <v>0</v>
      </c>
      <c r="H193" s="198">
        <f>((F135*(1-'5.Closing Stock &amp; W Capital'!$D$13))+(E135*'5.Closing Stock &amp; W Capital'!$D$13))*$C193*H$172</f>
        <v>0</v>
      </c>
      <c r="I193" s="198">
        <f>((G135*(1-'5.Closing Stock &amp; W Capital'!$D$13))+(F135*'5.Closing Stock &amp; W Capital'!$D$13))*$C193*I$172</f>
        <v>0</v>
      </c>
      <c r="J193" s="198">
        <f>((H135*(1-'5.Closing Stock &amp; W Capital'!$D$13))+(G135*'5.Closing Stock &amp; W Capital'!$D$13))*$C193*J$172</f>
        <v>0</v>
      </c>
      <c r="K193" s="92"/>
      <c r="L193" s="92"/>
    </row>
    <row r="194" spans="1:12">
      <c r="A194" s="93">
        <f t="shared" si="32"/>
        <v>0</v>
      </c>
      <c r="B194" s="93" t="s">
        <v>340</v>
      </c>
      <c r="C194" s="252"/>
      <c r="D194" s="198">
        <f>(B136*(1-'5.Closing Stock &amp; W Capital'!$D$13))*$C194*D$172</f>
        <v>0</v>
      </c>
      <c r="E194" s="198">
        <f>((C136*(1-'5.Closing Stock &amp; W Capital'!$D$13))+(B136*'5.Closing Stock &amp; W Capital'!$D$13))*$C194*E$172</f>
        <v>0</v>
      </c>
      <c r="F194" s="198">
        <f>((D136*(1-'5.Closing Stock &amp; W Capital'!$D$13))+(C136*'5.Closing Stock &amp; W Capital'!$D$13))*$C194*F$172</f>
        <v>0</v>
      </c>
      <c r="G194" s="198">
        <f>((E136*(1-'5.Closing Stock &amp; W Capital'!$D$13))+(D136*'5.Closing Stock &amp; W Capital'!$D$13))*$C194*G$172</f>
        <v>0</v>
      </c>
      <c r="H194" s="198">
        <f>((F136*(1-'5.Closing Stock &amp; W Capital'!$D$13))+(E136*'5.Closing Stock &amp; W Capital'!$D$13))*$C194*H$172</f>
        <v>0</v>
      </c>
      <c r="I194" s="198">
        <f>((G136*(1-'5.Closing Stock &amp; W Capital'!$D$13))+(F136*'5.Closing Stock &amp; W Capital'!$D$13))*$C194*I$172</f>
        <v>0</v>
      </c>
      <c r="J194" s="198">
        <f>((H136*(1-'5.Closing Stock &amp; W Capital'!$D$13))+(G136*'5.Closing Stock &amp; W Capital'!$D$13))*$C194*J$172</f>
        <v>0</v>
      </c>
      <c r="K194" s="92"/>
      <c r="L194" s="92"/>
    </row>
    <row r="195" spans="1:12">
      <c r="A195" s="93" t="str">
        <f t="shared" si="32"/>
        <v>Maize</v>
      </c>
      <c r="B195" s="93" t="s">
        <v>340</v>
      </c>
      <c r="C195" s="252">
        <v>2000</v>
      </c>
      <c r="D195" s="198">
        <f>(B137*(1-'5.Closing Stock &amp; W Capital'!$D$13))*$C195*D$172</f>
        <v>4379838.817499999</v>
      </c>
      <c r="E195" s="198">
        <f>((C137*(1-'5.Closing Stock &amp; W Capital'!$D$13))+(B137*'5.Closing Stock &amp; W Capital'!$D$13))*$C195*E$172</f>
        <v>5300757.5583375003</v>
      </c>
      <c r="F195" s="198">
        <f>((D137*(1-'5.Closing Stock &amp; W Capital'!$D$13))+(C137*'5.Closing Stock &amp; W Capital'!$D$13))*$C195*F$172</f>
        <v>6074087.2569168741</v>
      </c>
      <c r="G195" s="198">
        <f>((E137*(1-'5.Closing Stock &amp; W Capital'!$D$13))+(D137*'5.Closing Stock &amp; W Capital'!$D$13))*$C195*G$172</f>
        <v>6911498.0314583462</v>
      </c>
      <c r="H195" s="198">
        <f>((F137*(1-'5.Closing Stock &amp; W Capital'!$D$13))+(E137*'5.Closing Stock &amp; W Capital'!$D$13))*$C195*H$172</f>
        <v>7817464.665311669</v>
      </c>
      <c r="I195" s="198">
        <f>((G137*(1-'5.Closing Stock &amp; W Capital'!$D$13))+(F137*'5.Closing Stock &amp; W Capital'!$D$13))*$C195*I$172</f>
        <v>8796749.2174716815</v>
      </c>
      <c r="J195" s="198">
        <f>((H137*(1-'5.Closing Stock &amp; W Capital'!$D$13))+(G137*'5.Closing Stock &amp; W Capital'!$D$13))*$C195*J$172</f>
        <v>9854418.5631844178</v>
      </c>
      <c r="K195" s="92"/>
      <c r="L195" s="92"/>
    </row>
    <row r="196" spans="1:12">
      <c r="A196" s="93">
        <f t="shared" si="32"/>
        <v>0</v>
      </c>
      <c r="B196" s="93" t="s">
        <v>340</v>
      </c>
      <c r="C196" s="252"/>
      <c r="D196" s="198">
        <f>(B138*(1-'5.Closing Stock &amp; W Capital'!$D$13))*$C196*D$172</f>
        <v>0</v>
      </c>
      <c r="E196" s="198">
        <f>((C138*(1-'5.Closing Stock &amp; W Capital'!$D$13))+(B138*'5.Closing Stock &amp; W Capital'!$D$13))*$C196*E$172</f>
        <v>0</v>
      </c>
      <c r="F196" s="198">
        <f>((D138*(1-'5.Closing Stock &amp; W Capital'!$D$13))+(C138*'5.Closing Stock &amp; W Capital'!$D$13))*$C196*F$172</f>
        <v>0</v>
      </c>
      <c r="G196" s="198">
        <f>((E138*(1-'5.Closing Stock &amp; W Capital'!$D$13))+(D138*'5.Closing Stock &amp; W Capital'!$D$13))*$C196*G$172</f>
        <v>0</v>
      </c>
      <c r="H196" s="198">
        <f>((F138*(1-'5.Closing Stock &amp; W Capital'!$D$13))+(E138*'5.Closing Stock &amp; W Capital'!$D$13))*$C196*H$172</f>
        <v>0</v>
      </c>
      <c r="I196" s="198">
        <f>((G138*(1-'5.Closing Stock &amp; W Capital'!$D$13))+(F138*'5.Closing Stock &amp; W Capital'!$D$13))*$C196*I$172</f>
        <v>0</v>
      </c>
      <c r="J196" s="198">
        <f>((H138*(1-'5.Closing Stock &amp; W Capital'!$D$13))+(G138*'5.Closing Stock &amp; W Capital'!$D$13))*$C196*J$172</f>
        <v>0</v>
      </c>
      <c r="K196" s="92"/>
      <c r="L196" s="92"/>
    </row>
    <row r="197" spans="1:12">
      <c r="A197" s="93">
        <f t="shared" si="32"/>
        <v>0</v>
      </c>
      <c r="B197" s="93" t="s">
        <v>340</v>
      </c>
      <c r="C197" s="252"/>
      <c r="D197" s="198">
        <f>(B139*(1-'5.Closing Stock &amp; W Capital'!$D$13))*$C197*D$172</f>
        <v>0</v>
      </c>
      <c r="E197" s="198">
        <f>((C139*(1-'5.Closing Stock &amp; W Capital'!$D$13))+(B139*'5.Closing Stock &amp; W Capital'!$D$13))*$C197*E$172</f>
        <v>0</v>
      </c>
      <c r="F197" s="198">
        <f>((D139*(1-'5.Closing Stock &amp; W Capital'!$D$13))+(C139*'5.Closing Stock &amp; W Capital'!$D$13))*$C197*F$172</f>
        <v>0</v>
      </c>
      <c r="G197" s="198">
        <f>((E139*(1-'5.Closing Stock &amp; W Capital'!$D$13))+(D139*'5.Closing Stock &amp; W Capital'!$D$13))*$C197*G$172</f>
        <v>0</v>
      </c>
      <c r="H197" s="198">
        <f>((F139*(1-'5.Closing Stock &amp; W Capital'!$D$13))+(E139*'5.Closing Stock &amp; W Capital'!$D$13))*$C197*H$172</f>
        <v>0</v>
      </c>
      <c r="I197" s="198">
        <f>((G139*(1-'5.Closing Stock &amp; W Capital'!$D$13))+(F139*'5.Closing Stock &amp; W Capital'!$D$13))*$C197*I$172</f>
        <v>0</v>
      </c>
      <c r="J197" s="198">
        <f>((H139*(1-'5.Closing Stock &amp; W Capital'!$D$13))+(G139*'5.Closing Stock &amp; W Capital'!$D$13))*$C197*J$172</f>
        <v>0</v>
      </c>
      <c r="K197" s="92"/>
      <c r="L197" s="92"/>
    </row>
    <row r="198" spans="1:12">
      <c r="A198" s="93">
        <f t="shared" si="32"/>
        <v>0</v>
      </c>
      <c r="B198" s="93" t="s">
        <v>340</v>
      </c>
      <c r="C198" s="252"/>
      <c r="D198" s="198">
        <f>(B140*(1-'5.Closing Stock &amp; W Capital'!$D$13))*$C198*D$172</f>
        <v>0</v>
      </c>
      <c r="E198" s="198">
        <f>((C140*(1-'5.Closing Stock &amp; W Capital'!$D$13))+(B140*'5.Closing Stock &amp; W Capital'!$D$13))*$C198*E$172</f>
        <v>0</v>
      </c>
      <c r="F198" s="198">
        <f>((D140*(1-'5.Closing Stock &amp; W Capital'!$D$13))+(C140*'5.Closing Stock &amp; W Capital'!$D$13))*$C198*F$172</f>
        <v>0</v>
      </c>
      <c r="G198" s="198">
        <f>((E140*(1-'5.Closing Stock &amp; W Capital'!$D$13))+(D140*'5.Closing Stock &amp; W Capital'!$D$13))*$C198*G$172</f>
        <v>0</v>
      </c>
      <c r="H198" s="198">
        <f>((F140*(1-'5.Closing Stock &amp; W Capital'!$D$13))+(E140*'5.Closing Stock &amp; W Capital'!$D$13))*$C198*H$172</f>
        <v>0</v>
      </c>
      <c r="I198" s="198">
        <f>((G140*(1-'5.Closing Stock &amp; W Capital'!$D$13))+(F140*'5.Closing Stock &amp; W Capital'!$D$13))*$C198*I$172</f>
        <v>0</v>
      </c>
      <c r="J198" s="198">
        <f>((H140*(1-'5.Closing Stock &amp; W Capital'!$D$13))+(G140*'5.Closing Stock &amp; W Capital'!$D$13))*$C198*J$172</f>
        <v>0</v>
      </c>
      <c r="K198" s="92"/>
      <c r="L198" s="92"/>
    </row>
    <row r="199" spans="1:12">
      <c r="A199" s="93"/>
      <c r="B199" s="93" t="s">
        <v>340</v>
      </c>
      <c r="C199" s="252"/>
      <c r="D199" s="198">
        <f>(B141*(1-'5.Closing Stock &amp; W Capital'!$D$13))*$C199*D$172</f>
        <v>0</v>
      </c>
      <c r="E199" s="198">
        <f>((C141*(1-'5.Closing Stock &amp; W Capital'!$D$13))+(B141*'5.Closing Stock &amp; W Capital'!$D$13))*$C199*E$172</f>
        <v>0</v>
      </c>
      <c r="F199" s="198">
        <f>((D141*(1-'5.Closing Stock &amp; W Capital'!$D$13))+(C141*'5.Closing Stock &amp; W Capital'!$D$13))*$C199*F$172</f>
        <v>0</v>
      </c>
      <c r="G199" s="198">
        <f>((E141*(1-'5.Closing Stock &amp; W Capital'!$D$13))+(D141*'5.Closing Stock &amp; W Capital'!$D$13))*$C199*G$172</f>
        <v>0</v>
      </c>
      <c r="H199" s="198">
        <f>((F141*(1-'5.Closing Stock &amp; W Capital'!$D$13))+(E141*'5.Closing Stock &amp; W Capital'!$D$13))*$C199*H$172</f>
        <v>0</v>
      </c>
      <c r="I199" s="198">
        <f>((G141*(1-'5.Closing Stock &amp; W Capital'!$D$13))+(F141*'5.Closing Stock &amp; W Capital'!$D$13))*$C199*I$172</f>
        <v>0</v>
      </c>
      <c r="J199" s="198">
        <f>((H141*(1-'5.Closing Stock &amp; W Capital'!$D$13))+(G141*'5.Closing Stock &amp; W Capital'!$D$13))*$C199*J$172</f>
        <v>0</v>
      </c>
      <c r="K199" s="92"/>
      <c r="L199" s="92"/>
    </row>
    <row r="200" spans="1:12">
      <c r="A200" s="95" t="s">
        <v>279</v>
      </c>
      <c r="B200" s="93" t="s">
        <v>340</v>
      </c>
      <c r="C200" s="231">
        <v>125</v>
      </c>
      <c r="D200" s="198">
        <f t="shared" ref="D200:J200" si="33">B65*$C$200*D172</f>
        <v>114700.359375</v>
      </c>
      <c r="E200" s="198">
        <f t="shared" si="33"/>
        <v>132478.91507812505</v>
      </c>
      <c r="F200" s="198">
        <f t="shared" si="33"/>
        <v>151748.575453125</v>
      </c>
      <c r="G200" s="198">
        <f t="shared" si="33"/>
        <v>172614.00457792971</v>
      </c>
      <c r="H200" s="198">
        <f t="shared" si="33"/>
        <v>195186.60517658215</v>
      </c>
      <c r="I200" s="198">
        <f t="shared" si="33"/>
        <v>219584.9308236549</v>
      </c>
      <c r="J200" s="198">
        <f t="shared" si="33"/>
        <v>245935.12252249353</v>
      </c>
      <c r="K200" s="92"/>
      <c r="L200" s="92"/>
    </row>
    <row r="201" spans="1:12">
      <c r="A201" s="95"/>
      <c r="B201" s="95"/>
      <c r="C201" s="95"/>
      <c r="D201" s="93"/>
      <c r="E201" s="93"/>
      <c r="F201" s="93"/>
      <c r="G201" s="93"/>
      <c r="H201" s="93"/>
      <c r="I201" s="93"/>
      <c r="J201" s="93"/>
      <c r="K201" s="92"/>
      <c r="L201" s="92"/>
    </row>
    <row r="202" spans="1:12" hidden="1">
      <c r="A202" s="95" t="str">
        <f t="shared" ref="A202:A220" si="34">A143</f>
        <v>Fruit  &amp; Vegetables Crop Production Details</v>
      </c>
      <c r="B202" s="95"/>
      <c r="C202" s="95"/>
      <c r="D202" s="93"/>
      <c r="E202" s="93"/>
      <c r="F202" s="93"/>
      <c r="G202" s="93"/>
      <c r="H202" s="93"/>
      <c r="I202" s="93"/>
      <c r="J202" s="93"/>
      <c r="K202" s="92"/>
      <c r="L202" s="92"/>
    </row>
    <row r="203" spans="1:12" hidden="1">
      <c r="A203" s="95" t="str">
        <f t="shared" si="34"/>
        <v>Onion</v>
      </c>
      <c r="B203" s="93" t="s">
        <v>340</v>
      </c>
      <c r="C203" s="331">
        <v>0</v>
      </c>
      <c r="D203" s="198">
        <f>(B144*(1-'5.Closing Stock &amp; W Capital'!$D$13))*$C203*D$172</f>
        <v>0</v>
      </c>
      <c r="E203" s="198">
        <f>((C144*(1-'5.Closing Stock &amp; W Capital'!$D$13))+(B144*'5.Closing Stock &amp; W Capital'!$D$13))*$C203*E$172</f>
        <v>0</v>
      </c>
      <c r="F203" s="198">
        <f>((D144*(1-'5.Closing Stock &amp; W Capital'!$D$13))+(C144*'5.Closing Stock &amp; W Capital'!$D$13))*$C203*F$172</f>
        <v>0</v>
      </c>
      <c r="G203" s="198">
        <f>((E144*(1-'5.Closing Stock &amp; W Capital'!$D$13))+(D144*'5.Closing Stock &amp; W Capital'!$D$13))*$C203*G$172</f>
        <v>0</v>
      </c>
      <c r="H203" s="198">
        <f>((F144*(1-'5.Closing Stock &amp; W Capital'!$D$13))+(E144*'5.Closing Stock &amp; W Capital'!$D$13))*$C203*H$172</f>
        <v>0</v>
      </c>
      <c r="I203" s="198">
        <f>((G144*(1-'5.Closing Stock &amp; W Capital'!$D$13))+(F144*'5.Closing Stock &amp; W Capital'!$D$13))*$C203*I$172</f>
        <v>0</v>
      </c>
      <c r="J203" s="198">
        <f>((H144*(1-'5.Closing Stock &amp; W Capital'!$D$13))+(G144*'5.Closing Stock &amp; W Capital'!$D$13))*$C203*J$172</f>
        <v>0</v>
      </c>
      <c r="K203" s="92"/>
      <c r="L203" s="92"/>
    </row>
    <row r="204" spans="1:12" hidden="1">
      <c r="A204" s="95" t="str">
        <f t="shared" si="34"/>
        <v>Tomato</v>
      </c>
      <c r="B204" s="93" t="s">
        <v>340</v>
      </c>
      <c r="C204" s="252">
        <v>0</v>
      </c>
      <c r="D204" s="198">
        <f>(B145*(1-'5.Closing Stock &amp; W Capital'!$D$13))*$C204*D$172</f>
        <v>0</v>
      </c>
      <c r="E204" s="198">
        <f>((C145*(1-'5.Closing Stock &amp; W Capital'!$D$13))+(B145*'5.Closing Stock &amp; W Capital'!$D$13))*$C204*E$172</f>
        <v>0</v>
      </c>
      <c r="F204" s="198">
        <f>((D145*(1-'5.Closing Stock &amp; W Capital'!$D$13))+(C145*'5.Closing Stock &amp; W Capital'!$D$13))*$C204*F$172</f>
        <v>0</v>
      </c>
      <c r="G204" s="198">
        <f>((E145*(1-'5.Closing Stock &amp; W Capital'!$D$13))+(D145*'5.Closing Stock &amp; W Capital'!$D$13))*$C204*G$172</f>
        <v>0</v>
      </c>
      <c r="H204" s="198">
        <f>((F145*(1-'5.Closing Stock &amp; W Capital'!$D$13))+(E145*'5.Closing Stock &amp; W Capital'!$D$13))*$C204*H$172</f>
        <v>0</v>
      </c>
      <c r="I204" s="198">
        <f>((G145*(1-'5.Closing Stock &amp; W Capital'!$D$13))+(F145*'5.Closing Stock &amp; W Capital'!$D$13))*$C204*I$172</f>
        <v>0</v>
      </c>
      <c r="J204" s="198">
        <f>((H145*(1-'5.Closing Stock &amp; W Capital'!$D$13))+(G145*'5.Closing Stock &amp; W Capital'!$D$13))*$C204*J$172</f>
        <v>0</v>
      </c>
      <c r="K204" s="92"/>
      <c r="L204" s="92"/>
    </row>
    <row r="205" spans="1:12" hidden="1">
      <c r="A205" s="95" t="str">
        <f t="shared" si="34"/>
        <v>Okra</v>
      </c>
      <c r="B205" s="93" t="s">
        <v>340</v>
      </c>
      <c r="C205" s="252">
        <v>0</v>
      </c>
      <c r="D205" s="198">
        <f>(B146*(1-'5.Closing Stock &amp; W Capital'!$D$13))*$C205*D$172</f>
        <v>0</v>
      </c>
      <c r="E205" s="198">
        <f>((C146*(1-'5.Closing Stock &amp; W Capital'!$D$13))+(B146*'5.Closing Stock &amp; W Capital'!$D$13))*$C205*E$172</f>
        <v>0</v>
      </c>
      <c r="F205" s="198">
        <f>((D146*(1-'5.Closing Stock &amp; W Capital'!$D$13))+(C146*'5.Closing Stock &amp; W Capital'!$D$13))*$C205*F$172</f>
        <v>0</v>
      </c>
      <c r="G205" s="198">
        <f>((E146*(1-'5.Closing Stock &amp; W Capital'!$D$13))+(D146*'5.Closing Stock &amp; W Capital'!$D$13))*$C205*G$172</f>
        <v>0</v>
      </c>
      <c r="H205" s="198">
        <f>((F146*(1-'5.Closing Stock &amp; W Capital'!$D$13))+(E146*'5.Closing Stock &amp; W Capital'!$D$13))*$C205*H$172</f>
        <v>0</v>
      </c>
      <c r="I205" s="198">
        <f>((G146*(1-'5.Closing Stock &amp; W Capital'!$D$13))+(F146*'5.Closing Stock &amp; W Capital'!$D$13))*$C205*I$172</f>
        <v>0</v>
      </c>
      <c r="J205" s="198">
        <f>((H146*(1-'5.Closing Stock &amp; W Capital'!$D$13))+(G146*'5.Closing Stock &amp; W Capital'!$D$13))*$C205*J$172</f>
        <v>0</v>
      </c>
      <c r="K205" s="92"/>
      <c r="L205" s="92"/>
    </row>
    <row r="206" spans="1:12" hidden="1">
      <c r="A206" s="95" t="str">
        <f t="shared" si="34"/>
        <v>Chilli</v>
      </c>
      <c r="B206" s="93" t="s">
        <v>340</v>
      </c>
      <c r="C206" s="252">
        <v>0</v>
      </c>
      <c r="D206" s="198">
        <f>(B147*(1-'5.Closing Stock &amp; W Capital'!$D$13))*$C206*D$172</f>
        <v>0</v>
      </c>
      <c r="E206" s="198">
        <f>((C147*(1-'5.Closing Stock &amp; W Capital'!$D$13))+(B147*'5.Closing Stock &amp; W Capital'!$D$13))*$C206*E$172</f>
        <v>0</v>
      </c>
      <c r="F206" s="198">
        <f>((D147*(1-'5.Closing Stock &amp; W Capital'!$D$13))+(C147*'5.Closing Stock &amp; W Capital'!$D$13))*$C206*F$172</f>
        <v>0</v>
      </c>
      <c r="G206" s="198">
        <f>((E147*(1-'5.Closing Stock &amp; W Capital'!$D$13))+(D147*'5.Closing Stock &amp; W Capital'!$D$13))*$C206*G$172</f>
        <v>0</v>
      </c>
      <c r="H206" s="198">
        <f>((F147*(1-'5.Closing Stock &amp; W Capital'!$D$13))+(E147*'5.Closing Stock &amp; W Capital'!$D$13))*$C206*H$172</f>
        <v>0</v>
      </c>
      <c r="I206" s="198">
        <f>((G147*(1-'5.Closing Stock &amp; W Capital'!$D$13))+(F147*'5.Closing Stock &amp; W Capital'!$D$13))*$C206*I$172</f>
        <v>0</v>
      </c>
      <c r="J206" s="198">
        <f>((H147*(1-'5.Closing Stock &amp; W Capital'!$D$13))+(G147*'5.Closing Stock &amp; W Capital'!$D$13))*$C206*J$172</f>
        <v>0</v>
      </c>
      <c r="K206" s="92"/>
      <c r="L206" s="92"/>
    </row>
    <row r="207" spans="1:12" hidden="1">
      <c r="A207" s="95" t="str">
        <f t="shared" si="34"/>
        <v>Potato</v>
      </c>
      <c r="B207" s="93" t="s">
        <v>340</v>
      </c>
      <c r="C207" s="252">
        <v>0</v>
      </c>
      <c r="D207" s="198">
        <f>(B148*(1-'5.Closing Stock &amp; W Capital'!$D$13))*$C207*D$172</f>
        <v>0</v>
      </c>
      <c r="E207" s="198">
        <f>((C148*(1-'5.Closing Stock &amp; W Capital'!$D$13))+(B148*'5.Closing Stock &amp; W Capital'!$D$13))*$C207*E$172</f>
        <v>0</v>
      </c>
      <c r="F207" s="198">
        <f>((D148*(1-'5.Closing Stock &amp; W Capital'!$D$13))+(C148*'5.Closing Stock &amp; W Capital'!$D$13))*$C207*F$172</f>
        <v>0</v>
      </c>
      <c r="G207" s="198">
        <f>((E148*(1-'5.Closing Stock &amp; W Capital'!$D$13))+(D148*'5.Closing Stock &amp; W Capital'!$D$13))*$C207*G$172</f>
        <v>0</v>
      </c>
      <c r="H207" s="198">
        <f>((F148*(1-'5.Closing Stock &amp; W Capital'!$D$13))+(E148*'5.Closing Stock &amp; W Capital'!$D$13))*$C207*H$172</f>
        <v>0</v>
      </c>
      <c r="I207" s="198">
        <f>((G148*(1-'5.Closing Stock &amp; W Capital'!$D$13))+(F148*'5.Closing Stock &amp; W Capital'!$D$13))*$C207*I$172</f>
        <v>0</v>
      </c>
      <c r="J207" s="198">
        <f>((H148*(1-'5.Closing Stock &amp; W Capital'!$D$13))+(G148*'5.Closing Stock &amp; W Capital'!$D$13))*$C207*J$172</f>
        <v>0</v>
      </c>
      <c r="K207" s="92"/>
      <c r="L207" s="92"/>
    </row>
    <row r="208" spans="1:12" hidden="1">
      <c r="A208" s="95">
        <f t="shared" si="34"/>
        <v>0</v>
      </c>
      <c r="B208" s="93" t="s">
        <v>340</v>
      </c>
      <c r="C208" s="231"/>
      <c r="D208" s="198">
        <f>(B149*(1-'5.Closing Stock &amp; W Capital'!$D$13))*$C208*D$172</f>
        <v>0</v>
      </c>
      <c r="E208" s="198">
        <f>((C149*(1-'5.Closing Stock &amp; W Capital'!$D$13))+(B149*'5.Closing Stock &amp; W Capital'!$D$13))*$C208*E$172</f>
        <v>0</v>
      </c>
      <c r="F208" s="198">
        <f>((D149*(1-'5.Closing Stock &amp; W Capital'!$D$13))+(C149*'5.Closing Stock &amp; W Capital'!$D$13))*$C208*F$172</f>
        <v>0</v>
      </c>
      <c r="G208" s="198">
        <f>((E149*(1-'5.Closing Stock &amp; W Capital'!$D$13))+(D149*'5.Closing Stock &amp; W Capital'!$D$13))*$C208*G$172</f>
        <v>0</v>
      </c>
      <c r="H208" s="198">
        <f>((F149*(1-'5.Closing Stock &amp; W Capital'!$D$13))+(E149*'5.Closing Stock &amp; W Capital'!$D$13))*$C208*H$172</f>
        <v>0</v>
      </c>
      <c r="I208" s="198">
        <f>((G149*(1-'5.Closing Stock &amp; W Capital'!$D$13))+(F149*'5.Closing Stock &amp; W Capital'!$D$13))*$C208*I$172</f>
        <v>0</v>
      </c>
      <c r="J208" s="198">
        <f>((H149*(1-'5.Closing Stock &amp; W Capital'!$D$13))+(G149*'5.Closing Stock &amp; W Capital'!$D$13))*$C208*J$172</f>
        <v>0</v>
      </c>
      <c r="K208" s="92"/>
      <c r="L208" s="92"/>
    </row>
    <row r="209" spans="1:12" hidden="1">
      <c r="A209" s="95">
        <f t="shared" si="34"/>
        <v>0</v>
      </c>
      <c r="B209" s="93" t="s">
        <v>340</v>
      </c>
      <c r="C209" s="231"/>
      <c r="D209" s="198">
        <f>(B150*(1-'5.Closing Stock &amp; W Capital'!$D$13))*$C209*D$172</f>
        <v>0</v>
      </c>
      <c r="E209" s="198">
        <f>((C150*(1-'5.Closing Stock &amp; W Capital'!$D$13))+(B150*'5.Closing Stock &amp; W Capital'!$D$13))*$C209*E$172</f>
        <v>0</v>
      </c>
      <c r="F209" s="198">
        <f>((D150*(1-'5.Closing Stock &amp; W Capital'!$D$13))+(C150*'5.Closing Stock &amp; W Capital'!$D$13))*$C209*F$172</f>
        <v>0</v>
      </c>
      <c r="G209" s="198">
        <f>((E150*(1-'5.Closing Stock &amp; W Capital'!$D$13))+(D150*'5.Closing Stock &amp; W Capital'!$D$13))*$C209*G$172</f>
        <v>0</v>
      </c>
      <c r="H209" s="198">
        <f>((F150*(1-'5.Closing Stock &amp; W Capital'!$D$13))+(E150*'5.Closing Stock &amp; W Capital'!$D$13))*$C209*H$172</f>
        <v>0</v>
      </c>
      <c r="I209" s="198">
        <f>((G150*(1-'5.Closing Stock &amp; W Capital'!$D$13))+(F150*'5.Closing Stock &amp; W Capital'!$D$13))*$C209*I$172</f>
        <v>0</v>
      </c>
      <c r="J209" s="198">
        <f>((H150*(1-'5.Closing Stock &amp; W Capital'!$D$13))+(G150*'5.Closing Stock &amp; W Capital'!$D$13))*$C209*J$172</f>
        <v>0</v>
      </c>
      <c r="K209" s="92"/>
      <c r="L209" s="92"/>
    </row>
    <row r="210" spans="1:12" hidden="1">
      <c r="A210" s="95">
        <f t="shared" si="34"/>
        <v>0</v>
      </c>
      <c r="B210" s="93" t="s">
        <v>340</v>
      </c>
      <c r="C210" s="231"/>
      <c r="D210" s="198">
        <f>(B151*(1-'5.Closing Stock &amp; W Capital'!$D$13))*$C210*D$172</f>
        <v>0</v>
      </c>
      <c r="E210" s="198">
        <f>((C151*(1-'5.Closing Stock &amp; W Capital'!$D$13))+(B151*'5.Closing Stock &amp; W Capital'!$D$13))*$C210*E$172</f>
        <v>0</v>
      </c>
      <c r="F210" s="198">
        <f>((D151*(1-'5.Closing Stock &amp; W Capital'!$D$13))+(C151*'5.Closing Stock &amp; W Capital'!$D$13))*$C210*F$172</f>
        <v>0</v>
      </c>
      <c r="G210" s="198">
        <f>((E151*(1-'5.Closing Stock &amp; W Capital'!$D$13))+(D151*'5.Closing Stock &amp; W Capital'!$D$13))*$C210*G$172</f>
        <v>0</v>
      </c>
      <c r="H210" s="198">
        <f>((F151*(1-'5.Closing Stock &amp; W Capital'!$D$13))+(E151*'5.Closing Stock &amp; W Capital'!$D$13))*$C210*H$172</f>
        <v>0</v>
      </c>
      <c r="I210" s="198">
        <f>((G151*(1-'5.Closing Stock &amp; W Capital'!$D$13))+(F151*'5.Closing Stock &amp; W Capital'!$D$13))*$C210*I$172</f>
        <v>0</v>
      </c>
      <c r="J210" s="198">
        <f>((H151*(1-'5.Closing Stock &amp; W Capital'!$D$13))+(G151*'5.Closing Stock &amp; W Capital'!$D$13))*$C210*J$172</f>
        <v>0</v>
      </c>
      <c r="K210" s="92"/>
      <c r="L210" s="92"/>
    </row>
    <row r="211" spans="1:12" hidden="1">
      <c r="A211" s="95">
        <f t="shared" si="34"/>
        <v>0</v>
      </c>
      <c r="B211" s="93" t="s">
        <v>340</v>
      </c>
      <c r="C211" s="231"/>
      <c r="D211" s="198">
        <f>(B152*(1-'5.Closing Stock &amp; W Capital'!$D$13))*$C211*D$172</f>
        <v>0</v>
      </c>
      <c r="E211" s="198">
        <f>((C152*(1-'5.Closing Stock &amp; W Capital'!$D$13))+(B152*'5.Closing Stock &amp; W Capital'!$D$13))*$C211*E$172</f>
        <v>0</v>
      </c>
      <c r="F211" s="198">
        <f>((D152*(1-'5.Closing Stock &amp; W Capital'!$D$13))+(C152*'5.Closing Stock &amp; W Capital'!$D$13))*$C211*F$172</f>
        <v>0</v>
      </c>
      <c r="G211" s="198">
        <f>((E152*(1-'5.Closing Stock &amp; W Capital'!$D$13))+(D152*'5.Closing Stock &amp; W Capital'!$D$13))*$C211*G$172</f>
        <v>0</v>
      </c>
      <c r="H211" s="198">
        <f>((F152*(1-'5.Closing Stock &amp; W Capital'!$D$13))+(E152*'5.Closing Stock &amp; W Capital'!$D$13))*$C211*H$172</f>
        <v>0</v>
      </c>
      <c r="I211" s="198">
        <f>((G152*(1-'5.Closing Stock &amp; W Capital'!$D$13))+(F152*'5.Closing Stock &amp; W Capital'!$D$13))*$C211*I$172</f>
        <v>0</v>
      </c>
      <c r="J211" s="198">
        <f>((H152*(1-'5.Closing Stock &amp; W Capital'!$D$13))+(G152*'5.Closing Stock &amp; W Capital'!$D$13))*$C211*J$172</f>
        <v>0</v>
      </c>
      <c r="K211" s="92"/>
      <c r="L211" s="92"/>
    </row>
    <row r="212" spans="1:12" hidden="1">
      <c r="A212" s="95" t="str">
        <f t="shared" si="34"/>
        <v>Onion</v>
      </c>
      <c r="B212" s="93" t="s">
        <v>340</v>
      </c>
      <c r="C212" s="252">
        <v>0</v>
      </c>
      <c r="D212" s="198">
        <f>(B153*(1-'5.Closing Stock &amp; W Capital'!$D$13))*$C212*D$172</f>
        <v>0</v>
      </c>
      <c r="E212" s="198">
        <f>((C153*(1-'5.Closing Stock &amp; W Capital'!$D$13))+(B153*'5.Closing Stock &amp; W Capital'!$D$13))*$C212*E$172</f>
        <v>0</v>
      </c>
      <c r="F212" s="198">
        <f>((D153*(1-'5.Closing Stock &amp; W Capital'!$D$13))+(C153*'5.Closing Stock &amp; W Capital'!$D$13))*$C212*F$172</f>
        <v>0</v>
      </c>
      <c r="G212" s="198">
        <f>((E153*(1-'5.Closing Stock &amp; W Capital'!$D$13))+(D153*'5.Closing Stock &amp; W Capital'!$D$13))*$C212*G$172</f>
        <v>0</v>
      </c>
      <c r="H212" s="198">
        <f>((F153*(1-'5.Closing Stock &amp; W Capital'!$D$13))+(E153*'5.Closing Stock &amp; W Capital'!$D$13))*$C212*H$172</f>
        <v>0</v>
      </c>
      <c r="I212" s="198">
        <f>((G153*(1-'5.Closing Stock &amp; W Capital'!$D$13))+(F153*'5.Closing Stock &amp; W Capital'!$D$13))*$C212*I$172</f>
        <v>0</v>
      </c>
      <c r="J212" s="198">
        <f>((H153*(1-'5.Closing Stock &amp; W Capital'!$D$13))+(G153*'5.Closing Stock &amp; W Capital'!$D$13))*$C212*J$172</f>
        <v>0</v>
      </c>
      <c r="K212" s="92"/>
      <c r="L212" s="92"/>
    </row>
    <row r="213" spans="1:12" hidden="1">
      <c r="A213" s="95" t="str">
        <f t="shared" si="34"/>
        <v>Tomato</v>
      </c>
      <c r="B213" s="93" t="s">
        <v>340</v>
      </c>
      <c r="C213" s="252">
        <v>0</v>
      </c>
      <c r="D213" s="198">
        <f>(B154*(1-'5.Closing Stock &amp; W Capital'!$D$13))*$C213*D$172</f>
        <v>0</v>
      </c>
      <c r="E213" s="198">
        <f>((C154*(1-'5.Closing Stock &amp; W Capital'!$D$13))+(B154*'5.Closing Stock &amp; W Capital'!$D$13))*$C213*E$172</f>
        <v>0</v>
      </c>
      <c r="F213" s="198">
        <f>((D154*(1-'5.Closing Stock &amp; W Capital'!$D$13))+(C154*'5.Closing Stock &amp; W Capital'!$D$13))*$C213*F$172</f>
        <v>0</v>
      </c>
      <c r="G213" s="198">
        <f>((E154*(1-'5.Closing Stock &amp; W Capital'!$D$13))+(D154*'5.Closing Stock &amp; W Capital'!$D$13))*$C213*G$172</f>
        <v>0</v>
      </c>
      <c r="H213" s="198">
        <f>((F154*(1-'5.Closing Stock &amp; W Capital'!$D$13))+(E154*'5.Closing Stock &amp; W Capital'!$D$13))*$C213*H$172</f>
        <v>0</v>
      </c>
      <c r="I213" s="198">
        <f>((G154*(1-'5.Closing Stock &amp; W Capital'!$D$13))+(F154*'5.Closing Stock &amp; W Capital'!$D$13))*$C213*I$172</f>
        <v>0</v>
      </c>
      <c r="J213" s="198">
        <f>((H154*(1-'5.Closing Stock &amp; W Capital'!$D$13))+(G154*'5.Closing Stock &amp; W Capital'!$D$13))*$C213*J$172</f>
        <v>0</v>
      </c>
      <c r="K213" s="92"/>
      <c r="L213" s="92"/>
    </row>
    <row r="214" spans="1:12" hidden="1">
      <c r="A214" s="95" t="str">
        <f t="shared" si="34"/>
        <v>Okra</v>
      </c>
      <c r="B214" s="93" t="s">
        <v>340</v>
      </c>
      <c r="C214" s="252">
        <v>0</v>
      </c>
      <c r="D214" s="198">
        <f>(B155*(1-'5.Closing Stock &amp; W Capital'!$D$13))*$C214*D$172</f>
        <v>0</v>
      </c>
      <c r="E214" s="198">
        <f>((C155*(1-'5.Closing Stock &amp; W Capital'!$D$13))+(B155*'5.Closing Stock &amp; W Capital'!$D$13))*$C214*E$172</f>
        <v>0</v>
      </c>
      <c r="F214" s="198">
        <f>((D155*(1-'5.Closing Stock &amp; W Capital'!$D$13))+(C155*'5.Closing Stock &amp; W Capital'!$D$13))*$C214*F$172</f>
        <v>0</v>
      </c>
      <c r="G214" s="198">
        <f>((E155*(1-'5.Closing Stock &amp; W Capital'!$D$13))+(D155*'5.Closing Stock &amp; W Capital'!$D$13))*$C214*G$172</f>
        <v>0</v>
      </c>
      <c r="H214" s="198">
        <f>((F155*(1-'5.Closing Stock &amp; W Capital'!$D$13))+(E155*'5.Closing Stock &amp; W Capital'!$D$13))*$C214*H$172</f>
        <v>0</v>
      </c>
      <c r="I214" s="198">
        <f>((G155*(1-'5.Closing Stock &amp; W Capital'!$D$13))+(F155*'5.Closing Stock &amp; W Capital'!$D$13))*$C214*I$172</f>
        <v>0</v>
      </c>
      <c r="J214" s="198">
        <f>((H155*(1-'5.Closing Stock &amp; W Capital'!$D$13))+(G155*'5.Closing Stock &amp; W Capital'!$D$13))*$C214*J$172</f>
        <v>0</v>
      </c>
      <c r="K214" s="92"/>
      <c r="L214" s="92"/>
    </row>
    <row r="215" spans="1:12" hidden="1">
      <c r="A215" s="95" t="str">
        <f t="shared" si="34"/>
        <v>Chilli</v>
      </c>
      <c r="B215" s="93" t="s">
        <v>340</v>
      </c>
      <c r="C215" s="252">
        <v>0</v>
      </c>
      <c r="D215" s="198">
        <f>(B156*(1-'5.Closing Stock &amp; W Capital'!$D$13))*$C215*D$172</f>
        <v>0</v>
      </c>
      <c r="E215" s="198">
        <f>((C156*(1-'5.Closing Stock &amp; W Capital'!$D$13))+(B156*'5.Closing Stock &amp; W Capital'!$D$13))*$C215*E$172</f>
        <v>0</v>
      </c>
      <c r="F215" s="198">
        <f>((D156*(1-'5.Closing Stock &amp; W Capital'!$D$13))+(C156*'5.Closing Stock &amp; W Capital'!$D$13))*$C215*F$172</f>
        <v>0</v>
      </c>
      <c r="G215" s="198">
        <f>((E156*(1-'5.Closing Stock &amp; W Capital'!$D$13))+(D156*'5.Closing Stock &amp; W Capital'!$D$13))*$C215*G$172</f>
        <v>0</v>
      </c>
      <c r="H215" s="198">
        <f>((F156*(1-'5.Closing Stock &amp; W Capital'!$D$13))+(E156*'5.Closing Stock &amp; W Capital'!$D$13))*$C215*H$172</f>
        <v>0</v>
      </c>
      <c r="I215" s="198">
        <f>((G156*(1-'5.Closing Stock &amp; W Capital'!$D$13))+(F156*'5.Closing Stock &amp; W Capital'!$D$13))*$C215*I$172</f>
        <v>0</v>
      </c>
      <c r="J215" s="198">
        <f>((H156*(1-'5.Closing Stock &amp; W Capital'!$D$13))+(G156*'5.Closing Stock &amp; W Capital'!$D$13))*$C215*J$172</f>
        <v>0</v>
      </c>
      <c r="K215" s="92"/>
      <c r="L215" s="92"/>
    </row>
    <row r="216" spans="1:12" hidden="1">
      <c r="A216" s="95" t="str">
        <f t="shared" si="34"/>
        <v>Brinjal</v>
      </c>
      <c r="B216" s="93" t="s">
        <v>340</v>
      </c>
      <c r="C216" s="252">
        <v>0</v>
      </c>
      <c r="D216" s="198">
        <f>(B157*(1-'5.Closing Stock &amp; W Capital'!$D$13))*$C216*D$172</f>
        <v>0</v>
      </c>
      <c r="E216" s="198">
        <f>((C157*(1-'5.Closing Stock &amp; W Capital'!$D$13))+(B157*'5.Closing Stock &amp; W Capital'!$D$13))*$C216*E$172</f>
        <v>0</v>
      </c>
      <c r="F216" s="198">
        <f>((D157*(1-'5.Closing Stock &amp; W Capital'!$D$13))+(C157*'5.Closing Stock &amp; W Capital'!$D$13))*$C216*F$172</f>
        <v>0</v>
      </c>
      <c r="G216" s="198">
        <f>((E157*(1-'5.Closing Stock &amp; W Capital'!$D$13))+(D157*'5.Closing Stock &amp; W Capital'!$D$13))*$C216*G$172</f>
        <v>0</v>
      </c>
      <c r="H216" s="198">
        <f>((F157*(1-'5.Closing Stock &amp; W Capital'!$D$13))+(E157*'5.Closing Stock &amp; W Capital'!$D$13))*$C216*H$172</f>
        <v>0</v>
      </c>
      <c r="I216" s="198">
        <f>((G157*(1-'5.Closing Stock &amp; W Capital'!$D$13))+(F157*'5.Closing Stock &amp; W Capital'!$D$13))*$C216*I$172</f>
        <v>0</v>
      </c>
      <c r="J216" s="198">
        <f>((H157*(1-'5.Closing Stock &amp; W Capital'!$D$13))+(G157*'5.Closing Stock &amp; W Capital'!$D$13))*$C216*J$172</f>
        <v>0</v>
      </c>
      <c r="K216" s="92"/>
      <c r="L216" s="92"/>
    </row>
    <row r="217" spans="1:12" hidden="1">
      <c r="A217" s="95">
        <f t="shared" si="34"/>
        <v>0</v>
      </c>
      <c r="B217" s="93" t="s">
        <v>340</v>
      </c>
      <c r="C217" s="252"/>
      <c r="D217" s="198">
        <f>(B158*(1-'5.Closing Stock &amp; W Capital'!$D$13))*$C217*D$172</f>
        <v>0</v>
      </c>
      <c r="E217" s="198">
        <f>((C158*(1-'5.Closing Stock &amp; W Capital'!$D$13))+(B158*'5.Closing Stock &amp; W Capital'!$D$13))*$C217*E$172</f>
        <v>0</v>
      </c>
      <c r="F217" s="198">
        <f>((D158*(1-'5.Closing Stock &amp; W Capital'!$D$13))+(C158*'5.Closing Stock &amp; W Capital'!$D$13))*$C217*F$172</f>
        <v>0</v>
      </c>
      <c r="G217" s="198">
        <f>((E158*(1-'5.Closing Stock &amp; W Capital'!$D$13))+(D158*'5.Closing Stock &amp; W Capital'!$D$13))*$C217*G$172</f>
        <v>0</v>
      </c>
      <c r="H217" s="198">
        <f>((F158*(1-'5.Closing Stock &amp; W Capital'!$D$13))+(E158*'5.Closing Stock &amp; W Capital'!$D$13))*$C217*H$172</f>
        <v>0</v>
      </c>
      <c r="I217" s="198">
        <f>((G158*(1-'5.Closing Stock &amp; W Capital'!$D$13))+(F158*'5.Closing Stock &amp; W Capital'!$D$13))*$C217*I$172</f>
        <v>0</v>
      </c>
      <c r="J217" s="198">
        <f>((H158*(1-'5.Closing Stock &amp; W Capital'!$D$13))+(G158*'5.Closing Stock &amp; W Capital'!$D$13))*$C217*J$172</f>
        <v>0</v>
      </c>
      <c r="K217" s="92"/>
      <c r="L217" s="92"/>
    </row>
    <row r="218" spans="1:12" hidden="1">
      <c r="A218" s="95">
        <f t="shared" si="34"/>
        <v>0</v>
      </c>
      <c r="B218" s="93" t="s">
        <v>340</v>
      </c>
      <c r="C218" s="252"/>
      <c r="D218" s="198">
        <f>(B159*(1-'5.Closing Stock &amp; W Capital'!$D$13))*$C218*D$172</f>
        <v>0</v>
      </c>
      <c r="E218" s="198">
        <f>((C159*(1-'5.Closing Stock &amp; W Capital'!$D$13))+(B159*'5.Closing Stock &amp; W Capital'!$D$13))*$C218*E$172</f>
        <v>0</v>
      </c>
      <c r="F218" s="198">
        <f>((D159*(1-'5.Closing Stock &amp; W Capital'!$D$13))+(C159*'5.Closing Stock &amp; W Capital'!$D$13))*$C218*F$172</f>
        <v>0</v>
      </c>
      <c r="G218" s="198">
        <f>((E159*(1-'5.Closing Stock &amp; W Capital'!$D$13))+(D159*'5.Closing Stock &amp; W Capital'!$D$13))*$C218*G$172</f>
        <v>0</v>
      </c>
      <c r="H218" s="198">
        <f>((F159*(1-'5.Closing Stock &amp; W Capital'!$D$13))+(E159*'5.Closing Stock &amp; W Capital'!$D$13))*$C218*H$172</f>
        <v>0</v>
      </c>
      <c r="I218" s="198">
        <f>((G159*(1-'5.Closing Stock &amp; W Capital'!$D$13))+(F159*'5.Closing Stock &amp; W Capital'!$D$13))*$C218*I$172</f>
        <v>0</v>
      </c>
      <c r="J218" s="198">
        <f>((H159*(1-'5.Closing Stock &amp; W Capital'!$D$13))+(G159*'5.Closing Stock &amp; W Capital'!$D$13))*$C218*J$172</f>
        <v>0</v>
      </c>
      <c r="K218" s="92"/>
      <c r="L218" s="92"/>
    </row>
    <row r="219" spans="1:12" hidden="1">
      <c r="A219" s="95">
        <f t="shared" si="34"/>
        <v>0</v>
      </c>
      <c r="B219" s="93" t="s">
        <v>340</v>
      </c>
      <c r="C219" s="252"/>
      <c r="D219" s="198">
        <f>(B160*(1-'5.Closing Stock &amp; W Capital'!$D$13))*$C219*D$172</f>
        <v>0</v>
      </c>
      <c r="E219" s="198">
        <f>((C160*(1-'5.Closing Stock &amp; W Capital'!$D$13))+(B160*'5.Closing Stock &amp; W Capital'!$D$13))*$C219*E$172</f>
        <v>0</v>
      </c>
      <c r="F219" s="198">
        <f>((D160*(1-'5.Closing Stock &amp; W Capital'!$D$13))+(C160*'5.Closing Stock &amp; W Capital'!$D$13))*$C219*F$172</f>
        <v>0</v>
      </c>
      <c r="G219" s="198">
        <f>((E160*(1-'5.Closing Stock &amp; W Capital'!$D$13))+(D160*'5.Closing Stock &amp; W Capital'!$D$13))*$C219*G$172</f>
        <v>0</v>
      </c>
      <c r="H219" s="198">
        <f>((F160*(1-'5.Closing Stock &amp; W Capital'!$D$13))+(E160*'5.Closing Stock &amp; W Capital'!$D$13))*$C219*H$172</f>
        <v>0</v>
      </c>
      <c r="I219" s="198">
        <f>((G160*(1-'5.Closing Stock &amp; W Capital'!$D$13))+(F160*'5.Closing Stock &amp; W Capital'!$D$13))*$C219*I$172</f>
        <v>0</v>
      </c>
      <c r="J219" s="198">
        <f>((H160*(1-'5.Closing Stock &amp; W Capital'!$D$13))+(G160*'5.Closing Stock &amp; W Capital'!$D$13))*$C219*J$172</f>
        <v>0</v>
      </c>
      <c r="K219" s="92"/>
      <c r="L219" s="92"/>
    </row>
    <row r="220" spans="1:12" hidden="1">
      <c r="A220" s="95">
        <f t="shared" si="34"/>
        <v>0</v>
      </c>
      <c r="B220" s="93" t="s">
        <v>340</v>
      </c>
      <c r="C220" s="252"/>
      <c r="D220" s="198">
        <f>(B161*(1-'5.Closing Stock &amp; W Capital'!$D$13))*$C220*D$172</f>
        <v>0</v>
      </c>
      <c r="E220" s="198">
        <f>((C161*(1-'5.Closing Stock &amp; W Capital'!$D$13))+(B161*'5.Closing Stock &amp; W Capital'!$D$13))*$C220*E$172</f>
        <v>0</v>
      </c>
      <c r="F220" s="198">
        <f>((D161*(1-'5.Closing Stock &amp; W Capital'!$D$13))+(C161*'5.Closing Stock &amp; W Capital'!$D$13))*$C220*F$172</f>
        <v>0</v>
      </c>
      <c r="G220" s="198">
        <f>((E161*(1-'5.Closing Stock &amp; W Capital'!$D$13))+(D161*'5.Closing Stock &amp; W Capital'!$D$13))*$C220*G$172</f>
        <v>0</v>
      </c>
      <c r="H220" s="198">
        <f>((F161*(1-'5.Closing Stock &amp; W Capital'!$D$13))+(E161*'5.Closing Stock &amp; W Capital'!$D$13))*$C220*H$172</f>
        <v>0</v>
      </c>
      <c r="I220" s="198">
        <f>((G161*(1-'5.Closing Stock &amp; W Capital'!$D$13))+(F161*'5.Closing Stock &amp; W Capital'!$D$13))*$C220*I$172</f>
        <v>0</v>
      </c>
      <c r="J220" s="198">
        <f>((H161*(1-'5.Closing Stock &amp; W Capital'!$D$13))+(G161*'5.Closing Stock &amp; W Capital'!$D$13))*$C220*J$172</f>
        <v>0</v>
      </c>
      <c r="K220" s="92"/>
      <c r="L220" s="92"/>
    </row>
    <row r="221" spans="1:12" hidden="1">
      <c r="A221" s="95">
        <f t="shared" ref="A221:A223" si="35">A162</f>
        <v>0</v>
      </c>
      <c r="B221" s="93" t="s">
        <v>340</v>
      </c>
      <c r="C221" s="252"/>
      <c r="D221" s="198">
        <f>(B162*(1-'5.Closing Stock &amp; W Capital'!$D$13))*$C221*D$172</f>
        <v>0</v>
      </c>
      <c r="E221" s="198">
        <f>((C162*(1-'5.Closing Stock &amp; W Capital'!$D$13))+(B162*'5.Closing Stock &amp; W Capital'!$D$13))*$C221*E$172</f>
        <v>0</v>
      </c>
      <c r="F221" s="198">
        <f>((D162*(1-'5.Closing Stock &amp; W Capital'!$D$13))+(C162*'5.Closing Stock &amp; W Capital'!$D$13))*$C221*F$172</f>
        <v>0</v>
      </c>
      <c r="G221" s="198">
        <f>((E162*(1-'5.Closing Stock &amp; W Capital'!$D$13))+(D162*'5.Closing Stock &amp; W Capital'!$D$13))*$C221*G$172</f>
        <v>0</v>
      </c>
      <c r="H221" s="198">
        <f>((F162*(1-'5.Closing Stock &amp; W Capital'!$D$13))+(E162*'5.Closing Stock &amp; W Capital'!$D$13))*$C221*H$172</f>
        <v>0</v>
      </c>
      <c r="I221" s="198">
        <f>((G162*(1-'5.Closing Stock &amp; W Capital'!$D$13))+(F162*'5.Closing Stock &amp; W Capital'!$D$13))*$C221*I$172</f>
        <v>0</v>
      </c>
      <c r="J221" s="198">
        <f>((H162*(1-'5.Closing Stock &amp; W Capital'!$D$13))+(G162*'5.Closing Stock &amp; W Capital'!$D$13))*$C221*J$172</f>
        <v>0</v>
      </c>
      <c r="K221" s="92"/>
      <c r="L221" s="92"/>
    </row>
    <row r="222" spans="1:12" hidden="1">
      <c r="A222" s="95">
        <f t="shared" si="35"/>
        <v>0</v>
      </c>
      <c r="B222" s="93" t="s">
        <v>340</v>
      </c>
      <c r="C222" s="252"/>
      <c r="D222" s="198">
        <f>(B163*(1-'5.Closing Stock &amp; W Capital'!$D$13))*$C222*D$172</f>
        <v>0</v>
      </c>
      <c r="E222" s="198">
        <f>((C163*(1-'5.Closing Stock &amp; W Capital'!$D$13))+(B163*'5.Closing Stock &amp; W Capital'!$D$13))*$C222*E$172</f>
        <v>0</v>
      </c>
      <c r="F222" s="198">
        <f>((D163*(1-'5.Closing Stock &amp; W Capital'!$D$13))+(C163*'5.Closing Stock &amp; W Capital'!$D$13))*$C222*F$172</f>
        <v>0</v>
      </c>
      <c r="G222" s="198">
        <f>((E163*(1-'5.Closing Stock &amp; W Capital'!$D$13))+(D163*'5.Closing Stock &amp; W Capital'!$D$13))*$C222*G$172</f>
        <v>0</v>
      </c>
      <c r="H222" s="198">
        <f>((F163*(1-'5.Closing Stock &amp; W Capital'!$D$13))+(E163*'5.Closing Stock &amp; W Capital'!$D$13))*$C222*H$172</f>
        <v>0</v>
      </c>
      <c r="I222" s="198">
        <f>((G163*(1-'5.Closing Stock &amp; W Capital'!$D$13))+(F163*'5.Closing Stock &amp; W Capital'!$D$13))*$C222*I$172</f>
        <v>0</v>
      </c>
      <c r="J222" s="198">
        <f>((H163*(1-'5.Closing Stock &amp; W Capital'!$D$13))+(G163*'5.Closing Stock &amp; W Capital'!$D$13))*$C222*J$172</f>
        <v>0</v>
      </c>
      <c r="K222" s="92"/>
      <c r="L222" s="92"/>
    </row>
    <row r="223" spans="1:12" hidden="1">
      <c r="A223" s="95">
        <f t="shared" si="35"/>
        <v>0</v>
      </c>
      <c r="B223" s="93" t="s">
        <v>340</v>
      </c>
      <c r="C223" s="252"/>
      <c r="D223" s="198">
        <f>(B164*(1-'5.Closing Stock &amp; W Capital'!$D$13))*$C223*D$172</f>
        <v>0</v>
      </c>
      <c r="E223" s="198">
        <f>((C164*(1-'5.Closing Stock &amp; W Capital'!$D$13))+(B164*'5.Closing Stock &amp; W Capital'!$D$13))*$C223*E$172</f>
        <v>0</v>
      </c>
      <c r="F223" s="198">
        <f>((D164*(1-'5.Closing Stock &amp; W Capital'!$D$13))+(C164*'5.Closing Stock &amp; W Capital'!$D$13))*$C223*F$172</f>
        <v>0</v>
      </c>
      <c r="G223" s="198">
        <f>((E164*(1-'5.Closing Stock &amp; W Capital'!$D$13))+(D164*'5.Closing Stock &amp; W Capital'!$D$13))*$C223*G$172</f>
        <v>0</v>
      </c>
      <c r="H223" s="198">
        <f>((F164*(1-'5.Closing Stock &amp; W Capital'!$D$13))+(E164*'5.Closing Stock &amp; W Capital'!$D$13))*$C223*H$172</f>
        <v>0</v>
      </c>
      <c r="I223" s="198">
        <f>((G164*(1-'5.Closing Stock &amp; W Capital'!$D$13))+(F164*'5.Closing Stock &amp; W Capital'!$D$13))*$C223*I$172</f>
        <v>0</v>
      </c>
      <c r="J223" s="198">
        <f>((H164*(1-'5.Closing Stock &amp; W Capital'!$D$13))+(G164*'5.Closing Stock &amp; W Capital'!$D$13))*$C223*J$172</f>
        <v>0</v>
      </c>
      <c r="K223" s="92"/>
      <c r="L223" s="92"/>
    </row>
    <row r="224" spans="1:12" hidden="1">
      <c r="A224" s="95" t="str">
        <f t="shared" ref="A224:A227" si="36">A165</f>
        <v>Pomegranate</v>
      </c>
      <c r="B224" s="93" t="s">
        <v>340</v>
      </c>
      <c r="C224" s="252">
        <v>0</v>
      </c>
      <c r="D224" s="198">
        <f>(B165*(1-'5.Closing Stock &amp; W Capital'!$D$13))*$C224*D$172</f>
        <v>0</v>
      </c>
      <c r="E224" s="198">
        <f>((C165*(1-'5.Closing Stock &amp; W Capital'!$D$13))+(B165*'5.Closing Stock &amp; W Capital'!$D$13))*$C224*E$172</f>
        <v>0</v>
      </c>
      <c r="F224" s="198">
        <f>((D165*(1-'5.Closing Stock &amp; W Capital'!$D$13))+(C165*'5.Closing Stock &amp; W Capital'!$D$13))*$C224*F$172</f>
        <v>0</v>
      </c>
      <c r="G224" s="198">
        <f>((E165*(1-'5.Closing Stock &amp; W Capital'!$D$13))+(D165*'5.Closing Stock &amp; W Capital'!$D$13))*$C224*G$172</f>
        <v>0</v>
      </c>
      <c r="H224" s="198">
        <f>((F165*(1-'5.Closing Stock &amp; W Capital'!$D$13))+(E165*'5.Closing Stock &amp; W Capital'!$D$13))*$C224*H$172</f>
        <v>0</v>
      </c>
      <c r="I224" s="198">
        <f>((G165*(1-'5.Closing Stock &amp; W Capital'!$D$13))+(F165*'5.Closing Stock &amp; W Capital'!$D$13))*$C224*I$172</f>
        <v>0</v>
      </c>
      <c r="J224" s="198">
        <f>((H165*(1-'5.Closing Stock &amp; W Capital'!$D$13))+(G165*'5.Closing Stock &amp; W Capital'!$D$13))*$C224*J$172</f>
        <v>0</v>
      </c>
      <c r="K224" s="92"/>
      <c r="L224" s="92"/>
    </row>
    <row r="225" spans="1:12" hidden="1">
      <c r="A225" s="95" t="str">
        <f t="shared" si="36"/>
        <v>Custard Apple</v>
      </c>
      <c r="B225" s="93" t="s">
        <v>340</v>
      </c>
      <c r="C225" s="252"/>
      <c r="D225" s="198">
        <f>(B166*(1-'5.Closing Stock &amp; W Capital'!$D$13))*$C225*D$172</f>
        <v>0</v>
      </c>
      <c r="E225" s="198">
        <f>((C166*(1-'5.Closing Stock &amp; W Capital'!$D$13))+(B166*'5.Closing Stock &amp; W Capital'!$D$13))*$C225*E$172</f>
        <v>0</v>
      </c>
      <c r="F225" s="198">
        <f>((D166*(1-'5.Closing Stock &amp; W Capital'!$D$13))+(C166*'5.Closing Stock &amp; W Capital'!$D$13))*$C225*F$172</f>
        <v>0</v>
      </c>
      <c r="G225" s="198">
        <f>((E166*(1-'5.Closing Stock &amp; W Capital'!$D$13))+(D166*'5.Closing Stock &amp; W Capital'!$D$13))*$C225*G$172</f>
        <v>0</v>
      </c>
      <c r="H225" s="198">
        <f>((F166*(1-'5.Closing Stock &amp; W Capital'!$D$13))+(E166*'5.Closing Stock &amp; W Capital'!$D$13))*$C225*H$172</f>
        <v>0</v>
      </c>
      <c r="I225" s="198">
        <f>((G166*(1-'5.Closing Stock &amp; W Capital'!$D$13))+(F166*'5.Closing Stock &amp; W Capital'!$D$13))*$C225*I$172</f>
        <v>0</v>
      </c>
      <c r="J225" s="198">
        <f>((H166*(1-'5.Closing Stock &amp; W Capital'!$D$13))+(G166*'5.Closing Stock &amp; W Capital'!$D$13))*$C225*J$172</f>
        <v>0</v>
      </c>
      <c r="K225" s="92"/>
      <c r="L225" s="92"/>
    </row>
    <row r="226" spans="1:12" hidden="1">
      <c r="A226" s="95" t="str">
        <f t="shared" si="36"/>
        <v>Guava</v>
      </c>
      <c r="B226" s="93" t="s">
        <v>340</v>
      </c>
      <c r="C226" s="252"/>
      <c r="D226" s="198">
        <f>(B167*(1-'5.Closing Stock &amp; W Capital'!$D$13))*$C226*D$172</f>
        <v>0</v>
      </c>
      <c r="E226" s="198">
        <f>((C167*(1-'5.Closing Stock &amp; W Capital'!$D$13))+(B167*'5.Closing Stock &amp; W Capital'!$D$13))*$C226*E$172</f>
        <v>0</v>
      </c>
      <c r="F226" s="198">
        <f>((D167*(1-'5.Closing Stock &amp; W Capital'!$D$13))+(C167*'5.Closing Stock &amp; W Capital'!$D$13))*$C226*F$172</f>
        <v>0</v>
      </c>
      <c r="G226" s="198">
        <f>((E167*(1-'5.Closing Stock &amp; W Capital'!$D$13))+(D167*'5.Closing Stock &amp; W Capital'!$D$13))*$C226*G$172</f>
        <v>0</v>
      </c>
      <c r="H226" s="198">
        <f>((F167*(1-'5.Closing Stock &amp; W Capital'!$D$13))+(E167*'5.Closing Stock &amp; W Capital'!$D$13))*$C226*H$172</f>
        <v>0</v>
      </c>
      <c r="I226" s="198">
        <f>((G167*(1-'5.Closing Stock &amp; W Capital'!$D$13))+(F167*'5.Closing Stock &amp; W Capital'!$D$13))*$C226*I$172</f>
        <v>0</v>
      </c>
      <c r="J226" s="198">
        <f>((H167*(1-'5.Closing Stock &amp; W Capital'!$D$13))+(G167*'5.Closing Stock &amp; W Capital'!$D$13))*$C226*J$172</f>
        <v>0</v>
      </c>
      <c r="K226" s="92"/>
      <c r="L226" s="92"/>
    </row>
    <row r="227" spans="1:12" hidden="1">
      <c r="A227" s="95" t="str">
        <f t="shared" si="36"/>
        <v>Citrus</v>
      </c>
      <c r="B227" s="93" t="s">
        <v>340</v>
      </c>
      <c r="C227" s="252"/>
      <c r="D227" s="198">
        <f>(B168*(1-'5.Closing Stock &amp; W Capital'!$D$13))*$C227*D$172</f>
        <v>0</v>
      </c>
      <c r="E227" s="198">
        <f>((C168*(1-'5.Closing Stock &amp; W Capital'!$D$13))+(B168*'5.Closing Stock &amp; W Capital'!$D$13))*$C227*E$172</f>
        <v>0</v>
      </c>
      <c r="F227" s="198">
        <f>((D168*(1-'5.Closing Stock &amp; W Capital'!$D$13))+(C168*'5.Closing Stock &amp; W Capital'!$D$13))*$C227*F$172</f>
        <v>0</v>
      </c>
      <c r="G227" s="198">
        <f>((E168*(1-'5.Closing Stock &amp; W Capital'!$D$13))+(D168*'5.Closing Stock &amp; W Capital'!$D$13))*$C227*G$172</f>
        <v>0</v>
      </c>
      <c r="H227" s="198">
        <f>((F168*(1-'5.Closing Stock &amp; W Capital'!$D$13))+(E168*'5.Closing Stock &amp; W Capital'!$D$13))*$C227*H$172</f>
        <v>0</v>
      </c>
      <c r="I227" s="198">
        <f>((G168*(1-'5.Closing Stock &amp; W Capital'!$D$13))+(F168*'5.Closing Stock &amp; W Capital'!$D$13))*$C227*I$172</f>
        <v>0</v>
      </c>
      <c r="J227" s="198">
        <f>((H168*(1-'5.Closing Stock &amp; W Capital'!$D$13))+(G168*'5.Closing Stock &amp; W Capital'!$D$13))*$C227*J$172</f>
        <v>0</v>
      </c>
      <c r="K227" s="92"/>
      <c r="L227" s="92"/>
    </row>
    <row r="228" spans="1:12" hidden="1">
      <c r="A228" s="95"/>
      <c r="B228" s="95"/>
      <c r="C228" s="95"/>
      <c r="D228" s="93"/>
      <c r="E228" s="93"/>
      <c r="F228" s="93"/>
      <c r="G228" s="93"/>
      <c r="H228" s="93"/>
      <c r="I228" s="93"/>
      <c r="J228" s="93"/>
      <c r="K228" s="92"/>
      <c r="L228" s="92"/>
    </row>
    <row r="229" spans="1:12">
      <c r="A229" s="95" t="s">
        <v>142</v>
      </c>
      <c r="B229" s="95"/>
      <c r="C229" s="95"/>
      <c r="D229" s="200">
        <f t="shared" ref="D229:J229" si="37">SUM(D178:D228)</f>
        <v>38669305.040325001</v>
      </c>
      <c r="E229" s="200">
        <f t="shared" si="37"/>
        <v>46793696.527627878</v>
      </c>
      <c r="F229" s="200">
        <f t="shared" si="37"/>
        <v>53620390.401340619</v>
      </c>
      <c r="G229" s="200">
        <f t="shared" si="37"/>
        <v>61012769.421105556</v>
      </c>
      <c r="H229" s="200">
        <f t="shared" si="37"/>
        <v>69010335.366843656</v>
      </c>
      <c r="I229" s="200">
        <f t="shared" si="37"/>
        <v>77655125.983602792</v>
      </c>
      <c r="J229" s="200">
        <f t="shared" si="37"/>
        <v>86991869.823620722</v>
      </c>
      <c r="K229" s="92"/>
      <c r="L229" s="92"/>
    </row>
    <row r="230" spans="1:12">
      <c r="A230" s="93"/>
      <c r="B230" s="93"/>
      <c r="C230" s="93"/>
      <c r="D230" s="93"/>
      <c r="E230" s="93"/>
      <c r="F230" s="93"/>
      <c r="G230" s="93"/>
      <c r="H230" s="93"/>
      <c r="I230" s="93"/>
      <c r="J230" s="93"/>
      <c r="K230" s="92"/>
      <c r="L230" s="92"/>
    </row>
    <row r="231" spans="1:12">
      <c r="A231" s="95" t="s">
        <v>141</v>
      </c>
      <c r="B231" s="95"/>
      <c r="C231" s="95"/>
      <c r="D231" s="93"/>
      <c r="E231" s="93"/>
      <c r="F231" s="93"/>
      <c r="G231" s="93"/>
      <c r="H231" s="93"/>
      <c r="I231" s="93"/>
      <c r="J231" s="93"/>
      <c r="K231" s="92"/>
      <c r="L231" s="92"/>
    </row>
    <row r="232" spans="1:12">
      <c r="A232" s="95" t="s">
        <v>292</v>
      </c>
      <c r="B232" s="95"/>
      <c r="C232" s="93"/>
      <c r="D232" s="93"/>
      <c r="E232" s="93"/>
      <c r="F232" s="93"/>
      <c r="G232" s="93"/>
      <c r="H232" s="93"/>
      <c r="I232" s="93"/>
      <c r="J232" s="93"/>
      <c r="K232" s="92"/>
      <c r="L232" s="92"/>
    </row>
    <row r="233" spans="1:12">
      <c r="A233" s="93" t="str">
        <f t="shared" ref="A233:A254" si="38">A178</f>
        <v>Soybean</v>
      </c>
      <c r="B233" s="93" t="s">
        <v>340</v>
      </c>
      <c r="C233" s="250">
        <v>0</v>
      </c>
      <c r="D233" s="94">
        <f>B68*$C$233*D$172</f>
        <v>0</v>
      </c>
      <c r="E233" s="94">
        <f>C68*$C$233*E$172</f>
        <v>0</v>
      </c>
      <c r="F233" s="94">
        <f>D68*$C$233*F172</f>
        <v>0</v>
      </c>
      <c r="G233" s="94">
        <f>E68*$C$233*G172</f>
        <v>0</v>
      </c>
      <c r="H233" s="94">
        <f>F68*$C$233*H172</f>
        <v>0</v>
      </c>
      <c r="I233" s="94">
        <f>G68*$C$233*I172</f>
        <v>0</v>
      </c>
      <c r="J233" s="94">
        <f>H68*$C$233*J172</f>
        <v>0</v>
      </c>
      <c r="K233" s="92"/>
      <c r="L233" s="92"/>
    </row>
    <row r="234" spans="1:12">
      <c r="A234" s="93" t="str">
        <f t="shared" si="38"/>
        <v>Red Gram/Tur</v>
      </c>
      <c r="B234" s="93" t="s">
        <v>340</v>
      </c>
      <c r="C234" s="250">
        <v>6200</v>
      </c>
      <c r="D234" s="94">
        <f>B69*$C$234*D$172</f>
        <v>2744592.75</v>
      </c>
      <c r="E234" s="94">
        <f t="shared" ref="E234:J234" si="39">C69*$C$234*E172</f>
        <v>3170004.6262500007</v>
      </c>
      <c r="F234" s="94">
        <f t="shared" si="39"/>
        <v>3631096.2082500011</v>
      </c>
      <c r="G234" s="94">
        <f t="shared" si="39"/>
        <v>4130371.9368843767</v>
      </c>
      <c r="H234" s="94">
        <f t="shared" si="39"/>
        <v>4670497.4978615651</v>
      </c>
      <c r="I234" s="94">
        <f t="shared" si="39"/>
        <v>5254309.6850942625</v>
      </c>
      <c r="J234" s="94">
        <f t="shared" si="39"/>
        <v>5884826.8473055745</v>
      </c>
      <c r="K234" s="92"/>
      <c r="L234" s="92"/>
    </row>
    <row r="235" spans="1:12">
      <c r="A235" s="93" t="str">
        <f t="shared" si="38"/>
        <v>Paddy/Rice</v>
      </c>
      <c r="B235" s="93" t="s">
        <v>340</v>
      </c>
      <c r="C235" s="250"/>
      <c r="D235" s="94">
        <f>B70*$C$235*D$172</f>
        <v>0</v>
      </c>
      <c r="E235" s="94">
        <f t="shared" ref="E235:J235" si="40">C70*$C$235*E172</f>
        <v>0</v>
      </c>
      <c r="F235" s="94">
        <f t="shared" si="40"/>
        <v>0</v>
      </c>
      <c r="G235" s="94">
        <f t="shared" si="40"/>
        <v>0</v>
      </c>
      <c r="H235" s="94">
        <f t="shared" si="40"/>
        <v>0</v>
      </c>
      <c r="I235" s="94">
        <f t="shared" si="40"/>
        <v>0</v>
      </c>
      <c r="J235" s="94">
        <f t="shared" si="40"/>
        <v>0</v>
      </c>
      <c r="K235" s="92"/>
      <c r="L235" s="92"/>
    </row>
    <row r="236" spans="1:12">
      <c r="A236" s="93" t="str">
        <f t="shared" si="38"/>
        <v>Green Gram/ Moong</v>
      </c>
      <c r="B236" s="93" t="s">
        <v>340</v>
      </c>
      <c r="C236" s="250">
        <v>0</v>
      </c>
      <c r="D236" s="94">
        <f t="shared" ref="D236:J236" si="41">B71*$C$236*D$172</f>
        <v>0</v>
      </c>
      <c r="E236" s="94">
        <f t="shared" si="41"/>
        <v>0</v>
      </c>
      <c r="F236" s="94">
        <f t="shared" si="41"/>
        <v>0</v>
      </c>
      <c r="G236" s="94">
        <f t="shared" si="41"/>
        <v>0</v>
      </c>
      <c r="H236" s="94">
        <f t="shared" si="41"/>
        <v>0</v>
      </c>
      <c r="I236" s="94">
        <f t="shared" si="41"/>
        <v>0</v>
      </c>
      <c r="J236" s="94">
        <f t="shared" si="41"/>
        <v>0</v>
      </c>
      <c r="K236" s="92"/>
      <c r="L236" s="92"/>
    </row>
    <row r="237" spans="1:12">
      <c r="A237" s="93" t="str">
        <f t="shared" si="38"/>
        <v>Maize</v>
      </c>
      <c r="B237" s="93" t="s">
        <v>340</v>
      </c>
      <c r="C237" s="250">
        <v>1850</v>
      </c>
      <c r="D237" s="94">
        <f t="shared" ref="D237:J237" si="42">B72*$C$237*D$172</f>
        <v>6838959.75</v>
      </c>
      <c r="E237" s="94">
        <f t="shared" si="42"/>
        <v>7898998.5112499995</v>
      </c>
      <c r="F237" s="94">
        <f t="shared" si="42"/>
        <v>9047943.7492500003</v>
      </c>
      <c r="G237" s="94">
        <f t="shared" si="42"/>
        <v>10292036.014771877</v>
      </c>
      <c r="H237" s="94">
        <f t="shared" si="42"/>
        <v>11637917.647472816</v>
      </c>
      <c r="I237" s="94">
        <f t="shared" si="42"/>
        <v>13092657.353406919</v>
      </c>
      <c r="J237" s="94">
        <f t="shared" si="42"/>
        <v>14663776.23581575</v>
      </c>
      <c r="K237" s="92"/>
      <c r="L237" s="92"/>
    </row>
    <row r="238" spans="1:12">
      <c r="A238" s="93" t="str">
        <f t="shared" si="38"/>
        <v>Black Gram/Udid</v>
      </c>
      <c r="B238" s="93" t="s">
        <v>340</v>
      </c>
      <c r="C238" s="250">
        <v>0</v>
      </c>
      <c r="D238" s="94">
        <f t="shared" ref="D238:J238" si="43">B73*$C$238*D$172</f>
        <v>0</v>
      </c>
      <c r="E238" s="94">
        <f t="shared" si="43"/>
        <v>0</v>
      </c>
      <c r="F238" s="94">
        <f t="shared" si="43"/>
        <v>0</v>
      </c>
      <c r="G238" s="94">
        <f t="shared" si="43"/>
        <v>0</v>
      </c>
      <c r="H238" s="94">
        <f t="shared" si="43"/>
        <v>0</v>
      </c>
      <c r="I238" s="94">
        <f t="shared" si="43"/>
        <v>0</v>
      </c>
      <c r="J238" s="94">
        <f t="shared" si="43"/>
        <v>0</v>
      </c>
      <c r="K238" s="92"/>
      <c r="L238" s="92"/>
    </row>
    <row r="239" spans="1:12">
      <c r="A239" s="93" t="str">
        <f t="shared" si="38"/>
        <v>Bajra</v>
      </c>
      <c r="B239" s="93" t="s">
        <v>340</v>
      </c>
      <c r="C239" s="250">
        <v>0</v>
      </c>
      <c r="D239" s="94">
        <f t="shared" ref="D239:J239" si="44">B74*$C$239*D$172</f>
        <v>0</v>
      </c>
      <c r="E239" s="94">
        <f t="shared" si="44"/>
        <v>0</v>
      </c>
      <c r="F239" s="94">
        <f t="shared" si="44"/>
        <v>0</v>
      </c>
      <c r="G239" s="94">
        <f t="shared" si="44"/>
        <v>0</v>
      </c>
      <c r="H239" s="94">
        <f t="shared" si="44"/>
        <v>0</v>
      </c>
      <c r="I239" s="94">
        <f t="shared" si="44"/>
        <v>0</v>
      </c>
      <c r="J239" s="94">
        <f t="shared" si="44"/>
        <v>0</v>
      </c>
      <c r="K239" s="92"/>
      <c r="L239" s="92"/>
    </row>
    <row r="240" spans="1:12">
      <c r="A240" s="93" t="str">
        <f t="shared" si="38"/>
        <v>Jawar</v>
      </c>
      <c r="B240" s="93" t="s">
        <v>340</v>
      </c>
      <c r="C240" s="250"/>
      <c r="D240" s="94">
        <f t="shared" ref="D240:J240" si="45">B75*$C$240*D$172</f>
        <v>0</v>
      </c>
      <c r="E240" s="94">
        <f t="shared" si="45"/>
        <v>0</v>
      </c>
      <c r="F240" s="94">
        <f t="shared" si="45"/>
        <v>0</v>
      </c>
      <c r="G240" s="94">
        <f t="shared" si="45"/>
        <v>0</v>
      </c>
      <c r="H240" s="94">
        <f t="shared" si="45"/>
        <v>0</v>
      </c>
      <c r="I240" s="94">
        <f t="shared" si="45"/>
        <v>0</v>
      </c>
      <c r="J240" s="94">
        <f t="shared" si="45"/>
        <v>0</v>
      </c>
      <c r="K240" s="92"/>
      <c r="L240" s="92"/>
    </row>
    <row r="241" spans="1:12">
      <c r="A241" s="93" t="str">
        <f t="shared" si="38"/>
        <v>Sunflower</v>
      </c>
      <c r="B241" s="93" t="s">
        <v>340</v>
      </c>
      <c r="C241" s="250"/>
      <c r="D241" s="94">
        <f t="shared" ref="D241:J241" si="46">B76*$C$241*D$172</f>
        <v>0</v>
      </c>
      <c r="E241" s="94">
        <f t="shared" si="46"/>
        <v>0</v>
      </c>
      <c r="F241" s="94">
        <f t="shared" si="46"/>
        <v>0</v>
      </c>
      <c r="G241" s="94">
        <f t="shared" si="46"/>
        <v>0</v>
      </c>
      <c r="H241" s="94">
        <f t="shared" si="46"/>
        <v>0</v>
      </c>
      <c r="I241" s="94">
        <f t="shared" si="46"/>
        <v>0</v>
      </c>
      <c r="J241" s="94">
        <f t="shared" si="46"/>
        <v>0</v>
      </c>
      <c r="K241" s="92"/>
      <c r="L241" s="92"/>
    </row>
    <row r="242" spans="1:12">
      <c r="A242" s="93" t="str">
        <f t="shared" si="38"/>
        <v>Wheat</v>
      </c>
      <c r="B242" s="93" t="s">
        <v>340</v>
      </c>
      <c r="C242" s="250"/>
      <c r="D242" s="94">
        <f t="shared" ref="D242:J242" si="47">B77*$C$242*D$172</f>
        <v>0</v>
      </c>
      <c r="E242" s="94">
        <f t="shared" si="47"/>
        <v>0</v>
      </c>
      <c r="F242" s="94">
        <f t="shared" si="47"/>
        <v>0</v>
      </c>
      <c r="G242" s="94">
        <f t="shared" si="47"/>
        <v>0</v>
      </c>
      <c r="H242" s="94">
        <f t="shared" si="47"/>
        <v>0</v>
      </c>
      <c r="I242" s="94">
        <f t="shared" si="47"/>
        <v>0</v>
      </c>
      <c r="J242" s="94">
        <f t="shared" si="47"/>
        <v>0</v>
      </c>
      <c r="K242" s="92"/>
      <c r="L242" s="92"/>
    </row>
    <row r="243" spans="1:12">
      <c r="A243" s="93" t="str">
        <f t="shared" si="38"/>
        <v>Bengal Gram/Channa</v>
      </c>
      <c r="B243" s="93" t="s">
        <v>340</v>
      </c>
      <c r="C243" s="250">
        <v>0</v>
      </c>
      <c r="D243" s="94">
        <f t="shared" ref="D243:J243" si="48">B78*$C$243*D$172</f>
        <v>0</v>
      </c>
      <c r="E243" s="94">
        <f t="shared" si="48"/>
        <v>0</v>
      </c>
      <c r="F243" s="94">
        <f t="shared" si="48"/>
        <v>0</v>
      </c>
      <c r="G243" s="94">
        <f t="shared" si="48"/>
        <v>0</v>
      </c>
      <c r="H243" s="94">
        <f t="shared" si="48"/>
        <v>0</v>
      </c>
      <c r="I243" s="94">
        <f t="shared" si="48"/>
        <v>0</v>
      </c>
      <c r="J243" s="94">
        <f t="shared" si="48"/>
        <v>0</v>
      </c>
      <c r="K243" s="92"/>
      <c r="L243" s="92"/>
    </row>
    <row r="244" spans="1:12">
      <c r="A244" s="93" t="str">
        <f t="shared" si="38"/>
        <v>Jawar</v>
      </c>
      <c r="B244" s="93" t="s">
        <v>340</v>
      </c>
      <c r="C244" s="250">
        <v>2750</v>
      </c>
      <c r="D244" s="94">
        <f>B79*$C$244*D$172</f>
        <v>24688908.749999996</v>
      </c>
      <c r="E244" s="94">
        <f t="shared" ref="E244:J244" si="49">C79*$C$244*E$172</f>
        <v>28515689.606250003</v>
      </c>
      <c r="F244" s="94">
        <f t="shared" si="49"/>
        <v>32663426.276250001</v>
      </c>
      <c r="G244" s="94">
        <f t="shared" si="49"/>
        <v>37154647.389234386</v>
      </c>
      <c r="H244" s="94">
        <f t="shared" si="49"/>
        <v>42013332.047826573</v>
      </c>
      <c r="I244" s="94">
        <f t="shared" si="49"/>
        <v>47264998.553804904</v>
      </c>
      <c r="J244" s="94">
        <f t="shared" si="49"/>
        <v>52936798.380261496</v>
      </c>
      <c r="K244" s="92"/>
      <c r="L244" s="92"/>
    </row>
    <row r="245" spans="1:12">
      <c r="A245" s="93" t="str">
        <f t="shared" si="38"/>
        <v>Maize</v>
      </c>
      <c r="B245" s="93" t="s">
        <v>340</v>
      </c>
      <c r="C245" s="250"/>
      <c r="D245" s="94">
        <f t="shared" ref="D245:J245" si="50">B80*$C$245*D$172</f>
        <v>0</v>
      </c>
      <c r="E245" s="94">
        <f t="shared" si="50"/>
        <v>0</v>
      </c>
      <c r="F245" s="94">
        <f t="shared" si="50"/>
        <v>0</v>
      </c>
      <c r="G245" s="94">
        <f t="shared" si="50"/>
        <v>0</v>
      </c>
      <c r="H245" s="94">
        <f t="shared" si="50"/>
        <v>0</v>
      </c>
      <c r="I245" s="94">
        <f t="shared" si="50"/>
        <v>0</v>
      </c>
      <c r="J245" s="94">
        <f t="shared" si="50"/>
        <v>0</v>
      </c>
      <c r="K245" s="92"/>
      <c r="L245" s="92"/>
    </row>
    <row r="246" spans="1:12">
      <c r="A246" s="93" t="str">
        <f t="shared" si="38"/>
        <v>Safflower</v>
      </c>
      <c r="B246" s="93" t="s">
        <v>340</v>
      </c>
      <c r="C246" s="250"/>
      <c r="D246" s="94">
        <f t="shared" ref="D246:J246" si="51">B81*$C$246*D$172</f>
        <v>0</v>
      </c>
      <c r="E246" s="94">
        <f t="shared" si="51"/>
        <v>0</v>
      </c>
      <c r="F246" s="94">
        <f t="shared" si="51"/>
        <v>0</v>
      </c>
      <c r="G246" s="94">
        <f t="shared" si="51"/>
        <v>0</v>
      </c>
      <c r="H246" s="94">
        <f t="shared" si="51"/>
        <v>0</v>
      </c>
      <c r="I246" s="94">
        <f t="shared" si="51"/>
        <v>0</v>
      </c>
      <c r="J246" s="94">
        <f t="shared" si="51"/>
        <v>0</v>
      </c>
      <c r="K246" s="92"/>
      <c r="L246" s="92"/>
    </row>
    <row r="247" spans="1:12">
      <c r="A247" s="93">
        <f t="shared" si="38"/>
        <v>0</v>
      </c>
      <c r="B247" s="93" t="s">
        <v>340</v>
      </c>
      <c r="C247" s="250"/>
      <c r="D247" s="94">
        <f t="shared" ref="D247:J247" si="52">B82*$C$247*D$172</f>
        <v>0</v>
      </c>
      <c r="E247" s="94">
        <f t="shared" si="52"/>
        <v>0</v>
      </c>
      <c r="F247" s="94">
        <f t="shared" si="52"/>
        <v>0</v>
      </c>
      <c r="G247" s="94">
        <f t="shared" si="52"/>
        <v>0</v>
      </c>
      <c r="H247" s="94">
        <f t="shared" si="52"/>
        <v>0</v>
      </c>
      <c r="I247" s="94">
        <f t="shared" si="52"/>
        <v>0</v>
      </c>
      <c r="J247" s="94">
        <f t="shared" si="52"/>
        <v>0</v>
      </c>
      <c r="K247" s="92"/>
      <c r="L247" s="92"/>
    </row>
    <row r="248" spans="1:12">
      <c r="A248" s="93">
        <f t="shared" si="38"/>
        <v>0</v>
      </c>
      <c r="B248" s="93" t="s">
        <v>340</v>
      </c>
      <c r="C248" s="250"/>
      <c r="D248" s="94">
        <f t="shared" ref="D248:J248" si="53">B83*$C$248*D$172</f>
        <v>0</v>
      </c>
      <c r="E248" s="94">
        <f t="shared" si="53"/>
        <v>0</v>
      </c>
      <c r="F248" s="94">
        <f t="shared" si="53"/>
        <v>0</v>
      </c>
      <c r="G248" s="94">
        <f t="shared" si="53"/>
        <v>0</v>
      </c>
      <c r="H248" s="94">
        <f t="shared" si="53"/>
        <v>0</v>
      </c>
      <c r="I248" s="94">
        <f t="shared" si="53"/>
        <v>0</v>
      </c>
      <c r="J248" s="94">
        <f t="shared" si="53"/>
        <v>0</v>
      </c>
      <c r="K248" s="92"/>
      <c r="L248" s="92"/>
    </row>
    <row r="249" spans="1:12">
      <c r="A249" s="93">
        <f t="shared" si="38"/>
        <v>0</v>
      </c>
      <c r="B249" s="93" t="s">
        <v>340</v>
      </c>
      <c r="C249" s="250"/>
      <c r="D249" s="94">
        <f t="shared" ref="D249:J255" si="54">B84*$C249*D$172</f>
        <v>0</v>
      </c>
      <c r="E249" s="94">
        <f t="shared" si="54"/>
        <v>0</v>
      </c>
      <c r="F249" s="94">
        <f t="shared" si="54"/>
        <v>0</v>
      </c>
      <c r="G249" s="94">
        <f t="shared" si="54"/>
        <v>0</v>
      </c>
      <c r="H249" s="94">
        <f t="shared" si="54"/>
        <v>0</v>
      </c>
      <c r="I249" s="94">
        <f t="shared" si="54"/>
        <v>0</v>
      </c>
      <c r="J249" s="94">
        <f t="shared" si="54"/>
        <v>0</v>
      </c>
      <c r="K249" s="92"/>
      <c r="L249" s="92"/>
    </row>
    <row r="250" spans="1:12">
      <c r="A250" s="93" t="str">
        <f t="shared" si="38"/>
        <v>Maize</v>
      </c>
      <c r="B250" s="93" t="s">
        <v>340</v>
      </c>
      <c r="C250" s="250">
        <v>1850</v>
      </c>
      <c r="D250" s="94">
        <f t="shared" si="54"/>
        <v>4396474.125</v>
      </c>
      <c r="E250" s="94">
        <f t="shared" si="54"/>
        <v>5077927.6143750008</v>
      </c>
      <c r="F250" s="94">
        <f t="shared" si="54"/>
        <v>5816535.2673750008</v>
      </c>
      <c r="G250" s="94">
        <f t="shared" si="54"/>
        <v>6616308.8666390656</v>
      </c>
      <c r="H250" s="94">
        <f t="shared" si="54"/>
        <v>7481518.4876610972</v>
      </c>
      <c r="I250" s="94">
        <f t="shared" si="54"/>
        <v>8416708.2986187357</v>
      </c>
      <c r="J250" s="94">
        <f t="shared" si="54"/>
        <v>9426713.2944529857</v>
      </c>
      <c r="K250" s="92"/>
      <c r="L250" s="92"/>
    </row>
    <row r="251" spans="1:12">
      <c r="A251" s="93">
        <f t="shared" si="38"/>
        <v>0</v>
      </c>
      <c r="B251" s="93" t="s">
        <v>340</v>
      </c>
      <c r="C251" s="250"/>
      <c r="D251" s="94">
        <f t="shared" si="54"/>
        <v>0</v>
      </c>
      <c r="E251" s="94">
        <f t="shared" si="54"/>
        <v>0</v>
      </c>
      <c r="F251" s="94">
        <f t="shared" si="54"/>
        <v>0</v>
      </c>
      <c r="G251" s="94">
        <f t="shared" si="54"/>
        <v>0</v>
      </c>
      <c r="H251" s="94">
        <f t="shared" si="54"/>
        <v>0</v>
      </c>
      <c r="I251" s="94">
        <f t="shared" si="54"/>
        <v>0</v>
      </c>
      <c r="J251" s="94">
        <f t="shared" si="54"/>
        <v>0</v>
      </c>
      <c r="K251" s="92"/>
      <c r="L251" s="92"/>
    </row>
    <row r="252" spans="1:12">
      <c r="A252" s="93">
        <f t="shared" si="38"/>
        <v>0</v>
      </c>
      <c r="B252" s="93" t="s">
        <v>340</v>
      </c>
      <c r="C252" s="250"/>
      <c r="D252" s="94">
        <f t="shared" si="54"/>
        <v>0</v>
      </c>
      <c r="E252" s="94">
        <f t="shared" si="54"/>
        <v>0</v>
      </c>
      <c r="F252" s="94">
        <f t="shared" si="54"/>
        <v>0</v>
      </c>
      <c r="G252" s="94">
        <f t="shared" si="54"/>
        <v>0</v>
      </c>
      <c r="H252" s="94">
        <f t="shared" si="54"/>
        <v>0</v>
      </c>
      <c r="I252" s="94">
        <f t="shared" si="54"/>
        <v>0</v>
      </c>
      <c r="J252" s="94">
        <f t="shared" si="54"/>
        <v>0</v>
      </c>
      <c r="K252" s="92"/>
      <c r="L252" s="92"/>
    </row>
    <row r="253" spans="1:12">
      <c r="A253" s="93">
        <f t="shared" si="38"/>
        <v>0</v>
      </c>
      <c r="B253" s="93" t="s">
        <v>340</v>
      </c>
      <c r="C253" s="250"/>
      <c r="D253" s="94">
        <f t="shared" si="54"/>
        <v>0</v>
      </c>
      <c r="E253" s="94">
        <f t="shared" si="54"/>
        <v>0</v>
      </c>
      <c r="F253" s="94">
        <f t="shared" si="54"/>
        <v>0</v>
      </c>
      <c r="G253" s="94">
        <f t="shared" si="54"/>
        <v>0</v>
      </c>
      <c r="H253" s="94">
        <f t="shared" si="54"/>
        <v>0</v>
      </c>
      <c r="I253" s="94">
        <f t="shared" si="54"/>
        <v>0</v>
      </c>
      <c r="J253" s="94">
        <f t="shared" si="54"/>
        <v>0</v>
      </c>
      <c r="K253" s="92"/>
      <c r="L253" s="92"/>
    </row>
    <row r="254" spans="1:12">
      <c r="A254" s="93">
        <f t="shared" si="38"/>
        <v>0</v>
      </c>
      <c r="B254" s="93" t="s">
        <v>340</v>
      </c>
      <c r="C254" s="250"/>
      <c r="D254" s="94">
        <f t="shared" si="54"/>
        <v>0</v>
      </c>
      <c r="E254" s="94">
        <f t="shared" si="54"/>
        <v>0</v>
      </c>
      <c r="F254" s="94">
        <f t="shared" si="54"/>
        <v>0</v>
      </c>
      <c r="G254" s="94">
        <f t="shared" si="54"/>
        <v>0</v>
      </c>
      <c r="H254" s="94">
        <f t="shared" si="54"/>
        <v>0</v>
      </c>
      <c r="I254" s="94">
        <f t="shared" si="54"/>
        <v>0</v>
      </c>
      <c r="J254" s="94">
        <f t="shared" si="54"/>
        <v>0</v>
      </c>
      <c r="K254" s="92"/>
      <c r="L254" s="92"/>
    </row>
    <row r="255" spans="1:12" hidden="1">
      <c r="A255" s="93">
        <f t="shared" ref="A255:A274" si="55">A201</f>
        <v>0</v>
      </c>
      <c r="B255" s="93"/>
      <c r="C255" s="250"/>
      <c r="D255" s="94">
        <f t="shared" si="54"/>
        <v>0</v>
      </c>
      <c r="E255" s="94">
        <f t="shared" si="54"/>
        <v>0</v>
      </c>
      <c r="F255" s="94">
        <f t="shared" si="54"/>
        <v>0</v>
      </c>
      <c r="G255" s="94">
        <f t="shared" si="54"/>
        <v>0</v>
      </c>
      <c r="H255" s="94">
        <f t="shared" si="54"/>
        <v>0</v>
      </c>
      <c r="I255" s="94">
        <f t="shared" si="54"/>
        <v>0</v>
      </c>
      <c r="J255" s="94">
        <f t="shared" si="54"/>
        <v>0</v>
      </c>
      <c r="K255" s="92"/>
      <c r="L255" s="92"/>
    </row>
    <row r="256" spans="1:12" hidden="1">
      <c r="A256" s="95" t="str">
        <f t="shared" si="55"/>
        <v>Fruit  &amp; Vegetables Crop Production Details</v>
      </c>
      <c r="B256" s="93"/>
      <c r="C256" s="250"/>
      <c r="D256" s="94"/>
      <c r="E256" s="94"/>
      <c r="F256" s="94"/>
      <c r="G256" s="94"/>
      <c r="H256" s="94"/>
      <c r="I256" s="94"/>
      <c r="J256" s="94"/>
      <c r="K256" s="92"/>
      <c r="L256" s="92"/>
    </row>
    <row r="257" spans="1:12" hidden="1">
      <c r="A257" s="93" t="str">
        <f t="shared" si="55"/>
        <v>Onion</v>
      </c>
      <c r="B257" s="93" t="s">
        <v>340</v>
      </c>
      <c r="C257" s="250">
        <v>0</v>
      </c>
      <c r="D257" s="94">
        <f t="shared" ref="D257:D274" si="56">B92*$C257*D$172</f>
        <v>0</v>
      </c>
      <c r="E257" s="94">
        <f t="shared" ref="E257:E274" si="57">C92*$C257*E$172</f>
        <v>0</v>
      </c>
      <c r="F257" s="94">
        <f t="shared" ref="F257:F274" si="58">D92*$C257*F$172</f>
        <v>0</v>
      </c>
      <c r="G257" s="94">
        <f t="shared" ref="G257:G274" si="59">E92*$C257*G$172</f>
        <v>0</v>
      </c>
      <c r="H257" s="94">
        <f t="shared" ref="H257:H274" si="60">F92*$C257*H$172</f>
        <v>0</v>
      </c>
      <c r="I257" s="94">
        <f t="shared" ref="I257:I274" si="61">G92*$C257*I$172</f>
        <v>0</v>
      </c>
      <c r="J257" s="94">
        <f t="shared" ref="J257:J274" si="62">H92*$C257*J$172</f>
        <v>0</v>
      </c>
      <c r="K257" s="92"/>
      <c r="L257" s="92"/>
    </row>
    <row r="258" spans="1:12" hidden="1">
      <c r="A258" s="93" t="str">
        <f t="shared" si="55"/>
        <v>Tomato</v>
      </c>
      <c r="B258" s="93" t="s">
        <v>340</v>
      </c>
      <c r="C258" s="250">
        <v>0</v>
      </c>
      <c r="D258" s="94">
        <f t="shared" si="56"/>
        <v>0</v>
      </c>
      <c r="E258" s="94">
        <f t="shared" si="57"/>
        <v>0</v>
      </c>
      <c r="F258" s="94">
        <f t="shared" si="58"/>
        <v>0</v>
      </c>
      <c r="G258" s="94">
        <f t="shared" si="59"/>
        <v>0</v>
      </c>
      <c r="H258" s="94">
        <f t="shared" si="60"/>
        <v>0</v>
      </c>
      <c r="I258" s="94">
        <f t="shared" si="61"/>
        <v>0</v>
      </c>
      <c r="J258" s="94">
        <f t="shared" si="62"/>
        <v>0</v>
      </c>
      <c r="K258" s="92"/>
      <c r="L258" s="92"/>
    </row>
    <row r="259" spans="1:12" hidden="1">
      <c r="A259" s="93" t="str">
        <f t="shared" si="55"/>
        <v>Okra</v>
      </c>
      <c r="B259" s="93" t="s">
        <v>340</v>
      </c>
      <c r="C259" s="250">
        <v>0</v>
      </c>
      <c r="D259" s="94">
        <f t="shared" si="56"/>
        <v>0</v>
      </c>
      <c r="E259" s="94">
        <f t="shared" si="57"/>
        <v>0</v>
      </c>
      <c r="F259" s="94">
        <f t="shared" si="58"/>
        <v>0</v>
      </c>
      <c r="G259" s="94">
        <f t="shared" si="59"/>
        <v>0</v>
      </c>
      <c r="H259" s="94">
        <f t="shared" si="60"/>
        <v>0</v>
      </c>
      <c r="I259" s="94">
        <f t="shared" si="61"/>
        <v>0</v>
      </c>
      <c r="J259" s="94">
        <f t="shared" si="62"/>
        <v>0</v>
      </c>
      <c r="K259" s="92"/>
      <c r="L259" s="92"/>
    </row>
    <row r="260" spans="1:12" hidden="1">
      <c r="A260" s="93" t="str">
        <f t="shared" si="55"/>
        <v>Chilli</v>
      </c>
      <c r="B260" s="93" t="s">
        <v>340</v>
      </c>
      <c r="C260" s="250">
        <v>0</v>
      </c>
      <c r="D260" s="94">
        <f t="shared" si="56"/>
        <v>0</v>
      </c>
      <c r="E260" s="94">
        <f t="shared" si="57"/>
        <v>0</v>
      </c>
      <c r="F260" s="94">
        <f t="shared" si="58"/>
        <v>0</v>
      </c>
      <c r="G260" s="94">
        <f t="shared" si="59"/>
        <v>0</v>
      </c>
      <c r="H260" s="94">
        <f t="shared" si="60"/>
        <v>0</v>
      </c>
      <c r="I260" s="94">
        <f t="shared" si="61"/>
        <v>0</v>
      </c>
      <c r="J260" s="94">
        <f t="shared" si="62"/>
        <v>0</v>
      </c>
      <c r="K260" s="92"/>
      <c r="L260" s="92"/>
    </row>
    <row r="261" spans="1:12" hidden="1">
      <c r="A261" s="93" t="str">
        <f t="shared" si="55"/>
        <v>Potato</v>
      </c>
      <c r="B261" s="93" t="s">
        <v>340</v>
      </c>
      <c r="C261" s="250">
        <v>0</v>
      </c>
      <c r="D261" s="94">
        <f t="shared" si="56"/>
        <v>0</v>
      </c>
      <c r="E261" s="94">
        <f t="shared" si="57"/>
        <v>0</v>
      </c>
      <c r="F261" s="94">
        <f t="shared" si="58"/>
        <v>0</v>
      </c>
      <c r="G261" s="94">
        <f t="shared" si="59"/>
        <v>0</v>
      </c>
      <c r="H261" s="94">
        <f t="shared" si="60"/>
        <v>0</v>
      </c>
      <c r="I261" s="94">
        <f t="shared" si="61"/>
        <v>0</v>
      </c>
      <c r="J261" s="94">
        <f t="shared" si="62"/>
        <v>0</v>
      </c>
      <c r="K261" s="92"/>
      <c r="L261" s="92"/>
    </row>
    <row r="262" spans="1:12" hidden="1">
      <c r="A262" s="93">
        <f t="shared" si="55"/>
        <v>0</v>
      </c>
      <c r="B262" s="93" t="s">
        <v>340</v>
      </c>
      <c r="C262" s="250">
        <v>0</v>
      </c>
      <c r="D262" s="94">
        <f t="shared" si="56"/>
        <v>0</v>
      </c>
      <c r="E262" s="94">
        <f t="shared" si="57"/>
        <v>0</v>
      </c>
      <c r="F262" s="94">
        <f t="shared" si="58"/>
        <v>0</v>
      </c>
      <c r="G262" s="94">
        <f t="shared" si="59"/>
        <v>0</v>
      </c>
      <c r="H262" s="94">
        <f t="shared" si="60"/>
        <v>0</v>
      </c>
      <c r="I262" s="94">
        <f t="shared" si="61"/>
        <v>0</v>
      </c>
      <c r="J262" s="94">
        <f t="shared" si="62"/>
        <v>0</v>
      </c>
      <c r="K262" s="92"/>
      <c r="L262" s="92"/>
    </row>
    <row r="263" spans="1:12" hidden="1">
      <c r="A263" s="93">
        <f t="shared" si="55"/>
        <v>0</v>
      </c>
      <c r="B263" s="93" t="s">
        <v>340</v>
      </c>
      <c r="C263" s="250"/>
      <c r="D263" s="94">
        <f t="shared" si="56"/>
        <v>0</v>
      </c>
      <c r="E263" s="94">
        <f t="shared" si="57"/>
        <v>0</v>
      </c>
      <c r="F263" s="94">
        <f t="shared" si="58"/>
        <v>0</v>
      </c>
      <c r="G263" s="94">
        <f t="shared" si="59"/>
        <v>0</v>
      </c>
      <c r="H263" s="94">
        <f t="shared" si="60"/>
        <v>0</v>
      </c>
      <c r="I263" s="94">
        <f t="shared" si="61"/>
        <v>0</v>
      </c>
      <c r="J263" s="94">
        <f t="shared" si="62"/>
        <v>0</v>
      </c>
      <c r="K263" s="92"/>
      <c r="L263" s="92"/>
    </row>
    <row r="264" spans="1:12" hidden="1">
      <c r="A264" s="93">
        <f t="shared" si="55"/>
        <v>0</v>
      </c>
      <c r="B264" s="93" t="s">
        <v>340</v>
      </c>
      <c r="C264" s="250"/>
      <c r="D264" s="94">
        <f t="shared" si="56"/>
        <v>0</v>
      </c>
      <c r="E264" s="94">
        <f t="shared" si="57"/>
        <v>0</v>
      </c>
      <c r="F264" s="94">
        <f t="shared" si="58"/>
        <v>0</v>
      </c>
      <c r="G264" s="94">
        <f t="shared" si="59"/>
        <v>0</v>
      </c>
      <c r="H264" s="94">
        <f t="shared" si="60"/>
        <v>0</v>
      </c>
      <c r="I264" s="94">
        <f t="shared" si="61"/>
        <v>0</v>
      </c>
      <c r="J264" s="94">
        <f t="shared" si="62"/>
        <v>0</v>
      </c>
      <c r="K264" s="92"/>
      <c r="L264" s="92"/>
    </row>
    <row r="265" spans="1:12" hidden="1">
      <c r="A265" s="93">
        <f t="shared" si="55"/>
        <v>0</v>
      </c>
      <c r="B265" s="93" t="s">
        <v>340</v>
      </c>
      <c r="C265" s="250"/>
      <c r="D265" s="94">
        <f t="shared" si="56"/>
        <v>0</v>
      </c>
      <c r="E265" s="94">
        <f t="shared" si="57"/>
        <v>0</v>
      </c>
      <c r="F265" s="94">
        <f t="shared" si="58"/>
        <v>0</v>
      </c>
      <c r="G265" s="94">
        <f t="shared" si="59"/>
        <v>0</v>
      </c>
      <c r="H265" s="94">
        <f t="shared" si="60"/>
        <v>0</v>
      </c>
      <c r="I265" s="94">
        <f t="shared" si="61"/>
        <v>0</v>
      </c>
      <c r="J265" s="94">
        <f t="shared" si="62"/>
        <v>0</v>
      </c>
      <c r="K265" s="92"/>
      <c r="L265" s="92"/>
    </row>
    <row r="266" spans="1:12" hidden="1">
      <c r="A266" s="93" t="str">
        <f t="shared" si="55"/>
        <v>Onion</v>
      </c>
      <c r="B266" s="93" t="s">
        <v>340</v>
      </c>
      <c r="C266" s="250">
        <v>0</v>
      </c>
      <c r="D266" s="94">
        <f t="shared" si="56"/>
        <v>0</v>
      </c>
      <c r="E266" s="94">
        <f t="shared" si="57"/>
        <v>0</v>
      </c>
      <c r="F266" s="94">
        <f t="shared" si="58"/>
        <v>0</v>
      </c>
      <c r="G266" s="94">
        <f t="shared" si="59"/>
        <v>0</v>
      </c>
      <c r="H266" s="94">
        <f t="shared" si="60"/>
        <v>0</v>
      </c>
      <c r="I266" s="94">
        <f t="shared" si="61"/>
        <v>0</v>
      </c>
      <c r="J266" s="94">
        <f t="shared" si="62"/>
        <v>0</v>
      </c>
      <c r="K266" s="92"/>
      <c r="L266" s="92"/>
    </row>
    <row r="267" spans="1:12" hidden="1">
      <c r="A267" s="93" t="str">
        <f t="shared" si="55"/>
        <v>Tomato</v>
      </c>
      <c r="B267" s="93" t="s">
        <v>340</v>
      </c>
      <c r="C267" s="250">
        <v>0</v>
      </c>
      <c r="D267" s="94">
        <f t="shared" si="56"/>
        <v>0</v>
      </c>
      <c r="E267" s="94">
        <f t="shared" si="57"/>
        <v>0</v>
      </c>
      <c r="F267" s="94">
        <f t="shared" si="58"/>
        <v>0</v>
      </c>
      <c r="G267" s="94">
        <f t="shared" si="59"/>
        <v>0</v>
      </c>
      <c r="H267" s="94">
        <f t="shared" si="60"/>
        <v>0</v>
      </c>
      <c r="I267" s="94">
        <f t="shared" si="61"/>
        <v>0</v>
      </c>
      <c r="J267" s="94">
        <f t="shared" si="62"/>
        <v>0</v>
      </c>
      <c r="K267" s="92"/>
      <c r="L267" s="92"/>
    </row>
    <row r="268" spans="1:12" hidden="1">
      <c r="A268" s="93" t="str">
        <f t="shared" si="55"/>
        <v>Okra</v>
      </c>
      <c r="B268" s="93" t="s">
        <v>340</v>
      </c>
      <c r="C268" s="250">
        <v>0</v>
      </c>
      <c r="D268" s="94">
        <f t="shared" si="56"/>
        <v>0</v>
      </c>
      <c r="E268" s="94">
        <f t="shared" si="57"/>
        <v>0</v>
      </c>
      <c r="F268" s="94">
        <f t="shared" si="58"/>
        <v>0</v>
      </c>
      <c r="G268" s="94">
        <f t="shared" si="59"/>
        <v>0</v>
      </c>
      <c r="H268" s="94">
        <f t="shared" si="60"/>
        <v>0</v>
      </c>
      <c r="I268" s="94">
        <f t="shared" si="61"/>
        <v>0</v>
      </c>
      <c r="J268" s="94">
        <f t="shared" si="62"/>
        <v>0</v>
      </c>
      <c r="K268" s="92"/>
      <c r="L268" s="92"/>
    </row>
    <row r="269" spans="1:12" hidden="1">
      <c r="A269" s="93" t="str">
        <f t="shared" si="55"/>
        <v>Chilli</v>
      </c>
      <c r="B269" s="93" t="s">
        <v>340</v>
      </c>
      <c r="C269" s="250">
        <v>0</v>
      </c>
      <c r="D269" s="94">
        <f t="shared" si="56"/>
        <v>0</v>
      </c>
      <c r="E269" s="94">
        <f t="shared" si="57"/>
        <v>0</v>
      </c>
      <c r="F269" s="94">
        <f t="shared" si="58"/>
        <v>0</v>
      </c>
      <c r="G269" s="94">
        <f t="shared" si="59"/>
        <v>0</v>
      </c>
      <c r="H269" s="94">
        <f t="shared" si="60"/>
        <v>0</v>
      </c>
      <c r="I269" s="94">
        <f t="shared" si="61"/>
        <v>0</v>
      </c>
      <c r="J269" s="94">
        <f t="shared" si="62"/>
        <v>0</v>
      </c>
      <c r="K269" s="92"/>
      <c r="L269" s="92"/>
    </row>
    <row r="270" spans="1:12" hidden="1">
      <c r="A270" s="93" t="str">
        <f t="shared" si="55"/>
        <v>Brinjal</v>
      </c>
      <c r="B270" s="93" t="s">
        <v>340</v>
      </c>
      <c r="C270" s="250">
        <v>0</v>
      </c>
      <c r="D270" s="94">
        <f t="shared" si="56"/>
        <v>0</v>
      </c>
      <c r="E270" s="94">
        <f t="shared" si="57"/>
        <v>0</v>
      </c>
      <c r="F270" s="94">
        <f t="shared" si="58"/>
        <v>0</v>
      </c>
      <c r="G270" s="94">
        <f t="shared" si="59"/>
        <v>0</v>
      </c>
      <c r="H270" s="94">
        <f t="shared" si="60"/>
        <v>0</v>
      </c>
      <c r="I270" s="94">
        <f t="shared" si="61"/>
        <v>0</v>
      </c>
      <c r="J270" s="94">
        <f t="shared" si="62"/>
        <v>0</v>
      </c>
      <c r="K270" s="92"/>
      <c r="L270" s="92"/>
    </row>
    <row r="271" spans="1:12" hidden="1">
      <c r="A271" s="93">
        <f t="shared" si="55"/>
        <v>0</v>
      </c>
      <c r="B271" s="93" t="s">
        <v>340</v>
      </c>
      <c r="C271" s="250">
        <v>0</v>
      </c>
      <c r="D271" s="94">
        <f t="shared" si="56"/>
        <v>0</v>
      </c>
      <c r="E271" s="94">
        <f t="shared" si="57"/>
        <v>0</v>
      </c>
      <c r="F271" s="94">
        <f t="shared" si="58"/>
        <v>0</v>
      </c>
      <c r="G271" s="94">
        <f t="shared" si="59"/>
        <v>0</v>
      </c>
      <c r="H271" s="94">
        <f t="shared" si="60"/>
        <v>0</v>
      </c>
      <c r="I271" s="94">
        <f t="shared" si="61"/>
        <v>0</v>
      </c>
      <c r="J271" s="94">
        <f t="shared" si="62"/>
        <v>0</v>
      </c>
      <c r="K271" s="92"/>
      <c r="L271" s="92"/>
    </row>
    <row r="272" spans="1:12" hidden="1">
      <c r="A272" s="93">
        <f t="shared" si="55"/>
        <v>0</v>
      </c>
      <c r="B272" s="93" t="s">
        <v>340</v>
      </c>
      <c r="C272" s="250"/>
      <c r="D272" s="94">
        <f t="shared" si="56"/>
        <v>0</v>
      </c>
      <c r="E272" s="94">
        <f t="shared" si="57"/>
        <v>0</v>
      </c>
      <c r="F272" s="94">
        <f t="shared" si="58"/>
        <v>0</v>
      </c>
      <c r="G272" s="94">
        <f t="shared" si="59"/>
        <v>0</v>
      </c>
      <c r="H272" s="94">
        <f t="shared" si="60"/>
        <v>0</v>
      </c>
      <c r="I272" s="94">
        <f t="shared" si="61"/>
        <v>0</v>
      </c>
      <c r="J272" s="94">
        <f t="shared" si="62"/>
        <v>0</v>
      </c>
      <c r="K272" s="92"/>
      <c r="L272" s="92"/>
    </row>
    <row r="273" spans="1:12" hidden="1">
      <c r="A273" s="93">
        <f t="shared" si="55"/>
        <v>0</v>
      </c>
      <c r="B273" s="93" t="s">
        <v>340</v>
      </c>
      <c r="C273" s="250"/>
      <c r="D273" s="94">
        <f t="shared" si="56"/>
        <v>0</v>
      </c>
      <c r="E273" s="94">
        <f t="shared" si="57"/>
        <v>0</v>
      </c>
      <c r="F273" s="94">
        <f t="shared" si="58"/>
        <v>0</v>
      </c>
      <c r="G273" s="94">
        <f t="shared" si="59"/>
        <v>0</v>
      </c>
      <c r="H273" s="94">
        <f t="shared" si="60"/>
        <v>0</v>
      </c>
      <c r="I273" s="94">
        <f t="shared" si="61"/>
        <v>0</v>
      </c>
      <c r="J273" s="94">
        <f t="shared" si="62"/>
        <v>0</v>
      </c>
      <c r="K273" s="92"/>
      <c r="L273" s="92"/>
    </row>
    <row r="274" spans="1:12" hidden="1">
      <c r="A274" s="93">
        <f t="shared" si="55"/>
        <v>0</v>
      </c>
      <c r="B274" s="93" t="s">
        <v>340</v>
      </c>
      <c r="C274" s="250"/>
      <c r="D274" s="94">
        <f t="shared" si="56"/>
        <v>0</v>
      </c>
      <c r="E274" s="94">
        <f t="shared" si="57"/>
        <v>0</v>
      </c>
      <c r="F274" s="94">
        <f t="shared" si="58"/>
        <v>0</v>
      </c>
      <c r="G274" s="94">
        <f t="shared" si="59"/>
        <v>0</v>
      </c>
      <c r="H274" s="94">
        <f t="shared" si="60"/>
        <v>0</v>
      </c>
      <c r="I274" s="94">
        <f t="shared" si="61"/>
        <v>0</v>
      </c>
      <c r="J274" s="94">
        <f t="shared" si="62"/>
        <v>0</v>
      </c>
      <c r="K274" s="92"/>
      <c r="L274" s="92"/>
    </row>
    <row r="275" spans="1:12" hidden="1">
      <c r="A275" s="93" t="str">
        <f>A224</f>
        <v>Pomegranate</v>
      </c>
      <c r="B275" s="93" t="s">
        <v>340</v>
      </c>
      <c r="C275" s="250">
        <v>0</v>
      </c>
      <c r="D275" s="94">
        <f t="shared" ref="D275:J280" si="63">B113*$C275*D$172</f>
        <v>0</v>
      </c>
      <c r="E275" s="94">
        <f t="shared" si="63"/>
        <v>0</v>
      </c>
      <c r="F275" s="94">
        <f t="shared" si="63"/>
        <v>0</v>
      </c>
      <c r="G275" s="94">
        <f t="shared" si="63"/>
        <v>0</v>
      </c>
      <c r="H275" s="94">
        <f t="shared" si="63"/>
        <v>0</v>
      </c>
      <c r="I275" s="94">
        <f t="shared" si="63"/>
        <v>0</v>
      </c>
      <c r="J275" s="94">
        <f t="shared" si="63"/>
        <v>0</v>
      </c>
      <c r="K275" s="92"/>
      <c r="L275" s="92"/>
    </row>
    <row r="276" spans="1:12" hidden="1">
      <c r="A276" s="93" t="str">
        <f>A225</f>
        <v>Custard Apple</v>
      </c>
      <c r="B276" s="93" t="s">
        <v>340</v>
      </c>
      <c r="C276" s="250"/>
      <c r="D276" s="94">
        <f t="shared" si="63"/>
        <v>0</v>
      </c>
      <c r="E276" s="94">
        <f t="shared" si="63"/>
        <v>0</v>
      </c>
      <c r="F276" s="94">
        <f t="shared" si="63"/>
        <v>0</v>
      </c>
      <c r="G276" s="94">
        <f t="shared" si="63"/>
        <v>0</v>
      </c>
      <c r="H276" s="94">
        <f t="shared" si="63"/>
        <v>0</v>
      </c>
      <c r="I276" s="94">
        <f t="shared" si="63"/>
        <v>0</v>
      </c>
      <c r="J276" s="94">
        <f t="shared" si="63"/>
        <v>0</v>
      </c>
      <c r="K276" s="92"/>
      <c r="L276" s="92"/>
    </row>
    <row r="277" spans="1:12" hidden="1">
      <c r="A277" s="93" t="str">
        <f>A226</f>
        <v>Guava</v>
      </c>
      <c r="B277" s="93" t="s">
        <v>340</v>
      </c>
      <c r="C277" s="250"/>
      <c r="D277" s="94">
        <f t="shared" si="63"/>
        <v>0</v>
      </c>
      <c r="E277" s="94">
        <f t="shared" si="63"/>
        <v>0</v>
      </c>
      <c r="F277" s="94">
        <f t="shared" si="63"/>
        <v>0</v>
      </c>
      <c r="G277" s="94">
        <f t="shared" si="63"/>
        <v>0</v>
      </c>
      <c r="H277" s="94">
        <f t="shared" si="63"/>
        <v>0</v>
      </c>
      <c r="I277" s="94">
        <f t="shared" si="63"/>
        <v>0</v>
      </c>
      <c r="J277" s="94">
        <f t="shared" si="63"/>
        <v>0</v>
      </c>
      <c r="K277" s="92"/>
      <c r="L277" s="92"/>
    </row>
    <row r="278" spans="1:12" hidden="1">
      <c r="A278" s="93" t="str">
        <f>A227</f>
        <v>Citrus</v>
      </c>
      <c r="B278" s="93" t="s">
        <v>340</v>
      </c>
      <c r="C278" s="250"/>
      <c r="D278" s="94">
        <f t="shared" si="63"/>
        <v>0</v>
      </c>
      <c r="E278" s="94">
        <f t="shared" si="63"/>
        <v>0</v>
      </c>
      <c r="F278" s="94">
        <f t="shared" si="63"/>
        <v>0</v>
      </c>
      <c r="G278" s="94">
        <f t="shared" si="63"/>
        <v>0</v>
      </c>
      <c r="H278" s="94">
        <f t="shared" si="63"/>
        <v>0</v>
      </c>
      <c r="I278" s="94">
        <f t="shared" si="63"/>
        <v>0</v>
      </c>
      <c r="J278" s="94">
        <f t="shared" si="63"/>
        <v>0</v>
      </c>
      <c r="K278" s="92"/>
      <c r="L278" s="92"/>
    </row>
    <row r="279" spans="1:12" hidden="1">
      <c r="A279" s="93">
        <f>A228</f>
        <v>0</v>
      </c>
      <c r="B279" s="93" t="s">
        <v>340</v>
      </c>
      <c r="C279" s="250"/>
      <c r="D279" s="94">
        <f t="shared" si="63"/>
        <v>0</v>
      </c>
      <c r="E279" s="94">
        <f t="shared" si="63"/>
        <v>0</v>
      </c>
      <c r="F279" s="94">
        <f t="shared" si="63"/>
        <v>0</v>
      </c>
      <c r="G279" s="94">
        <f t="shared" si="63"/>
        <v>0</v>
      </c>
      <c r="H279" s="94">
        <f t="shared" si="63"/>
        <v>0</v>
      </c>
      <c r="I279" s="94">
        <f t="shared" si="63"/>
        <v>0</v>
      </c>
      <c r="J279" s="94">
        <f t="shared" si="63"/>
        <v>0</v>
      </c>
      <c r="K279" s="92"/>
      <c r="L279" s="92"/>
    </row>
    <row r="280" spans="1:12" hidden="1">
      <c r="A280" s="93">
        <f>A230</f>
        <v>0</v>
      </c>
      <c r="B280" s="93"/>
      <c r="C280" s="250"/>
      <c r="D280" s="94">
        <f t="shared" si="63"/>
        <v>0</v>
      </c>
      <c r="E280" s="94">
        <f t="shared" si="63"/>
        <v>0</v>
      </c>
      <c r="F280" s="94">
        <f t="shared" si="63"/>
        <v>0</v>
      </c>
      <c r="G280" s="94">
        <f t="shared" si="63"/>
        <v>0</v>
      </c>
      <c r="H280" s="94">
        <f t="shared" si="63"/>
        <v>0</v>
      </c>
      <c r="I280" s="94">
        <f t="shared" si="63"/>
        <v>0</v>
      </c>
      <c r="J280" s="94">
        <f t="shared" si="63"/>
        <v>0</v>
      </c>
      <c r="K280" s="92"/>
      <c r="L280" s="92"/>
    </row>
    <row r="281" spans="1:12">
      <c r="A281" s="93"/>
      <c r="B281" s="93"/>
      <c r="C281" s="250"/>
      <c r="D281" s="94"/>
      <c r="E281" s="94"/>
      <c r="F281" s="94"/>
      <c r="G281" s="94"/>
      <c r="H281" s="94"/>
      <c r="I281" s="94"/>
      <c r="J281" s="94"/>
      <c r="K281" s="92"/>
      <c r="L281" s="92"/>
    </row>
    <row r="282" spans="1:12">
      <c r="A282" s="93" t="s">
        <v>293</v>
      </c>
      <c r="B282" s="226">
        <v>2</v>
      </c>
      <c r="C282" s="226">
        <v>300</v>
      </c>
      <c r="D282" s="94">
        <f t="shared" ref="D282:J282" si="64">B10*$B$282*$C$282*D172</f>
        <v>112359.53571428571</v>
      </c>
      <c r="E282" s="94">
        <f t="shared" si="64"/>
        <v>129775.26375000001</v>
      </c>
      <c r="F282" s="94">
        <f t="shared" si="64"/>
        <v>148651.66575000001</v>
      </c>
      <c r="G282" s="94">
        <f t="shared" si="64"/>
        <v>169091.26979062503</v>
      </c>
      <c r="H282" s="94">
        <f t="shared" si="64"/>
        <v>191203.20507093758</v>
      </c>
      <c r="I282" s="94">
        <f t="shared" si="64"/>
        <v>215103.60570480477</v>
      </c>
      <c r="J282" s="94">
        <f t="shared" si="64"/>
        <v>240916.03838938137</v>
      </c>
      <c r="K282" s="92"/>
      <c r="L282" s="92"/>
    </row>
    <row r="283" spans="1:12">
      <c r="A283" s="93" t="s">
        <v>143</v>
      </c>
      <c r="B283" s="93">
        <f>'2.Capex Details'!H59*0.746*8/2</f>
        <v>35.808</v>
      </c>
      <c r="C283" s="226">
        <v>14</v>
      </c>
      <c r="D283" s="94">
        <f t="shared" ref="D283:J283" si="65">$B$283*$C$283*D172*B10</f>
        <v>93878.639280000003</v>
      </c>
      <c r="E283" s="94">
        <f t="shared" si="65"/>
        <v>108429.82836840002</v>
      </c>
      <c r="F283" s="94">
        <f t="shared" si="65"/>
        <v>124201.43976744001</v>
      </c>
      <c r="G283" s="94">
        <f t="shared" si="65"/>
        <v>141279.13773546301</v>
      </c>
      <c r="H283" s="94">
        <f t="shared" si="65"/>
        <v>159754.10190086978</v>
      </c>
      <c r="I283" s="94">
        <f t="shared" si="65"/>
        <v>179723.36463847847</v>
      </c>
      <c r="J283" s="94">
        <f t="shared" si="65"/>
        <v>201290.16839509594</v>
      </c>
      <c r="K283" s="92"/>
      <c r="L283" s="92"/>
    </row>
    <row r="284" spans="1:12">
      <c r="A284" s="93" t="s">
        <v>421</v>
      </c>
      <c r="B284" s="93"/>
      <c r="C284" s="226">
        <v>38</v>
      </c>
      <c r="D284" s="94">
        <f t="shared" ref="D284:J284" si="66">SUM(B120:B141)*$C$284*D172</f>
        <v>642633.9974775</v>
      </c>
      <c r="E284" s="94">
        <f t="shared" si="66"/>
        <v>742242.26708651253</v>
      </c>
      <c r="F284" s="94">
        <f t="shared" si="66"/>
        <v>850204.77866273257</v>
      </c>
      <c r="G284" s="94">
        <f t="shared" si="66"/>
        <v>967107.93572885846</v>
      </c>
      <c r="H284" s="94">
        <f t="shared" si="66"/>
        <v>1093575.8965549399</v>
      </c>
      <c r="I284" s="94">
        <f t="shared" si="66"/>
        <v>1230272.8836243076</v>
      </c>
      <c r="J284" s="94">
        <f t="shared" si="66"/>
        <v>1377905.6296592248</v>
      </c>
      <c r="K284" s="92"/>
      <c r="L284" s="202">
        <f>D284/36</f>
        <v>17850.944374375002</v>
      </c>
    </row>
    <row r="285" spans="1:12">
      <c r="A285" s="93" t="s">
        <v>420</v>
      </c>
      <c r="B285" s="93"/>
      <c r="C285" s="226">
        <v>10</v>
      </c>
      <c r="D285" s="94">
        <f t="shared" ref="D285:J285" si="67">SUM(B120:B141)*$C$285*D172</f>
        <v>169114.20986249999</v>
      </c>
      <c r="E285" s="94">
        <f t="shared" si="67"/>
        <v>195326.91239118751</v>
      </c>
      <c r="F285" s="94">
        <f t="shared" si="67"/>
        <v>223738.09964808752</v>
      </c>
      <c r="G285" s="94">
        <f t="shared" si="67"/>
        <v>254502.0883496996</v>
      </c>
      <c r="H285" s="94">
        <f t="shared" si="67"/>
        <v>287783.13067235262</v>
      </c>
      <c r="I285" s="94">
        <f t="shared" si="67"/>
        <v>323756.02200639673</v>
      </c>
      <c r="J285" s="94">
        <f t="shared" si="67"/>
        <v>362606.74464716448</v>
      </c>
      <c r="K285" s="92"/>
      <c r="L285" s="92"/>
    </row>
    <row r="286" spans="1:12">
      <c r="A286" s="10"/>
      <c r="B286" s="10"/>
      <c r="C286" s="10"/>
      <c r="D286" s="10"/>
      <c r="E286" s="10"/>
      <c r="F286" s="10"/>
      <c r="G286" s="10"/>
      <c r="H286" s="10"/>
      <c r="I286" s="10"/>
      <c r="J286" s="10"/>
      <c r="K286" s="92"/>
      <c r="L286" s="92"/>
    </row>
    <row r="287" spans="1:12">
      <c r="A287" s="10"/>
      <c r="B287" s="10"/>
      <c r="C287" s="10"/>
      <c r="D287" s="10"/>
      <c r="E287" s="10"/>
      <c r="F287" s="10"/>
      <c r="G287" s="10"/>
      <c r="H287" s="10"/>
      <c r="I287" s="10"/>
      <c r="J287" s="10"/>
      <c r="K287" s="92"/>
      <c r="L287" s="92"/>
    </row>
    <row r="288" spans="1:12">
      <c r="A288" s="10"/>
      <c r="B288" s="10"/>
      <c r="C288" s="10"/>
      <c r="D288" s="10"/>
      <c r="E288" s="10"/>
      <c r="F288" s="10"/>
      <c r="G288" s="10"/>
      <c r="H288" s="10"/>
      <c r="I288" s="10"/>
      <c r="J288" s="10"/>
      <c r="K288" s="92"/>
      <c r="L288" s="92"/>
    </row>
    <row r="289" spans="1:20">
      <c r="A289" s="97" t="s">
        <v>320</v>
      </c>
      <c r="B289" s="93"/>
      <c r="C289" s="93"/>
      <c r="D289" s="198"/>
      <c r="E289" s="198">
        <f>'5.Closing Stock &amp; W Capital'!F6</f>
        <v>1975890.3773735892</v>
      </c>
      <c r="F289" s="198">
        <f>'5.Closing Stock &amp; W Capital'!G6</f>
        <v>2282153.3858664962</v>
      </c>
      <c r="G289" s="198">
        <f>'5.Closing Stock &amp; W Capital'!H6</f>
        <v>2614102.9692652589</v>
      </c>
      <c r="H289" s="198">
        <f>'5.Closing Stock &amp; W Capital'!I6</f>
        <v>2973542.1275392324</v>
      </c>
      <c r="I289" s="198">
        <f>'5.Closing Stock &amp; W Capital'!J6</f>
        <v>3362389.9442174397</v>
      </c>
      <c r="J289" s="198">
        <f>'5.Closing Stock &amp; W Capital'!K6</f>
        <v>3782688.6872446202</v>
      </c>
      <c r="K289" s="92"/>
      <c r="L289" s="92"/>
    </row>
    <row r="290" spans="1:20">
      <c r="A290" s="97" t="s">
        <v>321</v>
      </c>
      <c r="B290" s="93"/>
      <c r="C290" s="198"/>
      <c r="D290" s="198">
        <f>'5.Closing Stock &amp; W Capital'!E13</f>
        <v>1975890.3773735892</v>
      </c>
      <c r="E290" s="198">
        <f>'5.Closing Stock &amp; W Capital'!F13</f>
        <v>2282153.3858664962</v>
      </c>
      <c r="F290" s="198">
        <f>'5.Closing Stock &amp; W Capital'!G13</f>
        <v>2614102.9692652589</v>
      </c>
      <c r="G290" s="198">
        <f>'5.Closing Stock &amp; W Capital'!H13</f>
        <v>2973542.1275392324</v>
      </c>
      <c r="H290" s="198">
        <f>'5.Closing Stock &amp; W Capital'!I13</f>
        <v>3362389.9442174397</v>
      </c>
      <c r="I290" s="198">
        <f>'5.Closing Stock &amp; W Capital'!J13</f>
        <v>3782688.6872446202</v>
      </c>
      <c r="J290" s="198">
        <f>'5.Closing Stock &amp; W Capital'!K13</f>
        <v>4236611.329713976</v>
      </c>
      <c r="K290" s="92"/>
      <c r="L290" s="92"/>
    </row>
    <row r="291" spans="1:20">
      <c r="A291" s="97"/>
      <c r="B291" s="93"/>
      <c r="C291" s="201"/>
      <c r="D291" s="198"/>
      <c r="E291" s="198"/>
      <c r="F291" s="198"/>
      <c r="G291" s="198"/>
      <c r="H291" s="198"/>
      <c r="I291" s="198"/>
      <c r="J291" s="198"/>
      <c r="K291" s="92"/>
      <c r="L291" s="92"/>
      <c r="M291" s="92"/>
      <c r="N291" s="92"/>
      <c r="O291" s="92"/>
      <c r="P291" s="92"/>
      <c r="Q291" s="92"/>
      <c r="R291" s="92"/>
      <c r="S291" s="92"/>
      <c r="T291" s="92"/>
    </row>
    <row r="292" spans="1:20">
      <c r="A292" s="95" t="s">
        <v>301</v>
      </c>
      <c r="B292" s="95"/>
      <c r="C292" s="95"/>
      <c r="D292" s="113">
        <f t="shared" ref="D292:J292" si="68">SUM(D233:D289)-D290</f>
        <v>37711031.379960693</v>
      </c>
      <c r="E292" s="113">
        <f t="shared" si="68"/>
        <v>45532131.621228211</v>
      </c>
      <c r="F292" s="113">
        <f t="shared" si="68"/>
        <v>52173847.901554495</v>
      </c>
      <c r="G292" s="113">
        <f t="shared" si="68"/>
        <v>59365905.480860375</v>
      </c>
      <c r="H292" s="113">
        <f t="shared" si="68"/>
        <v>67146734.198342934</v>
      </c>
      <c r="I292" s="113">
        <f t="shared" si="68"/>
        <v>75557231.023871616</v>
      </c>
      <c r="J292" s="113">
        <f t="shared" si="68"/>
        <v>84640910.696457326</v>
      </c>
      <c r="K292" s="92"/>
      <c r="L292" s="92"/>
      <c r="M292" s="92"/>
      <c r="N292" s="92"/>
      <c r="O292" s="92"/>
      <c r="P292" s="92"/>
      <c r="Q292" s="92"/>
      <c r="R292" s="92"/>
      <c r="S292" s="92"/>
      <c r="T292" s="92"/>
    </row>
    <row r="293" spans="1:20">
      <c r="A293" s="95" t="s">
        <v>291</v>
      </c>
      <c r="B293" s="93"/>
      <c r="C293" s="93"/>
      <c r="D293" s="108"/>
      <c r="E293" s="108"/>
      <c r="F293" s="108"/>
      <c r="G293" s="108"/>
      <c r="H293" s="108"/>
      <c r="I293" s="93"/>
      <c r="J293" s="93"/>
      <c r="K293" s="92"/>
      <c r="L293" s="92"/>
      <c r="M293" s="92"/>
      <c r="N293" s="92"/>
      <c r="O293" s="92"/>
      <c r="P293" s="92"/>
      <c r="Q293" s="92"/>
      <c r="R293" s="92"/>
      <c r="S293" s="92"/>
      <c r="T293" s="92"/>
    </row>
    <row r="294" spans="1:20">
      <c r="A294" s="93" t="s">
        <v>176</v>
      </c>
      <c r="B294" s="226">
        <v>1</v>
      </c>
      <c r="C294" s="250">
        <v>300</v>
      </c>
      <c r="D294" s="94">
        <f>$B$294*$C$294*B10*D172</f>
        <v>56179.767857142855</v>
      </c>
      <c r="E294" s="94">
        <f>$B$294*$C$294*C10*E172</f>
        <v>64887.631875000006</v>
      </c>
      <c r="F294" s="94">
        <f t="shared" ref="F294:J294" si="69">$B$294*$C$294*D10*F172</f>
        <v>74325.832875000007</v>
      </c>
      <c r="G294" s="94">
        <f t="shared" si="69"/>
        <v>84545.634895312513</v>
      </c>
      <c r="H294" s="94">
        <f t="shared" si="69"/>
        <v>95601.602535468788</v>
      </c>
      <c r="I294" s="94">
        <f t="shared" si="69"/>
        <v>107551.80285240238</v>
      </c>
      <c r="J294" s="94">
        <f t="shared" si="69"/>
        <v>120458.01919469069</v>
      </c>
      <c r="K294" s="92"/>
      <c r="L294" s="92"/>
      <c r="M294" s="92"/>
      <c r="N294" s="92"/>
      <c r="O294" s="92"/>
      <c r="P294" s="92"/>
      <c r="Q294" s="92"/>
      <c r="R294" s="92"/>
      <c r="S294" s="92"/>
      <c r="T294" s="92"/>
    </row>
    <row r="295" spans="1:20">
      <c r="A295" s="93" t="s">
        <v>633</v>
      </c>
      <c r="B295" s="226">
        <v>0</v>
      </c>
      <c r="C295" s="250">
        <v>10000</v>
      </c>
      <c r="D295" s="94">
        <f>B295*C295*12</f>
        <v>0</v>
      </c>
      <c r="E295" s="94"/>
      <c r="F295" s="94"/>
      <c r="G295" s="94"/>
      <c r="H295" s="94"/>
      <c r="I295" s="94"/>
      <c r="J295" s="94"/>
      <c r="K295" s="92"/>
      <c r="L295" s="92"/>
      <c r="M295" s="92"/>
      <c r="N295" s="202"/>
      <c r="O295" s="92"/>
      <c r="P295" s="92"/>
      <c r="Q295" s="92"/>
      <c r="R295" s="92"/>
      <c r="S295" s="92"/>
      <c r="T295" s="92"/>
    </row>
    <row r="296" spans="1:20">
      <c r="A296" s="93"/>
      <c r="B296" s="226"/>
      <c r="C296" s="250"/>
      <c r="D296" s="94"/>
      <c r="E296" s="94"/>
      <c r="F296" s="94"/>
      <c r="G296" s="94"/>
      <c r="H296" s="94"/>
      <c r="I296" s="94"/>
      <c r="J296" s="94"/>
      <c r="K296" s="92"/>
      <c r="L296" s="92"/>
      <c r="M296" s="92"/>
      <c r="N296" s="92"/>
      <c r="O296" s="92"/>
      <c r="P296" s="92"/>
      <c r="Q296" s="92"/>
      <c r="R296" s="92"/>
      <c r="S296" s="92"/>
      <c r="T296" s="92"/>
    </row>
    <row r="297" spans="1:20">
      <c r="A297" s="93"/>
      <c r="B297" s="226"/>
      <c r="C297" s="250"/>
      <c r="D297" s="94"/>
      <c r="E297" s="94"/>
      <c r="F297" s="94"/>
      <c r="G297" s="94"/>
      <c r="H297" s="94"/>
      <c r="I297" s="94"/>
      <c r="J297" s="94"/>
      <c r="K297" s="92"/>
      <c r="L297" s="92"/>
      <c r="M297" s="92"/>
      <c r="N297" s="92"/>
      <c r="O297" s="92"/>
      <c r="P297" s="92"/>
      <c r="Q297" s="92"/>
      <c r="R297" s="92"/>
      <c r="S297" s="92"/>
      <c r="T297" s="92"/>
    </row>
    <row r="298" spans="1:20">
      <c r="A298" s="93"/>
      <c r="B298" s="226"/>
      <c r="C298" s="250"/>
      <c r="D298" s="94"/>
      <c r="E298" s="94"/>
      <c r="F298" s="94"/>
      <c r="G298" s="94"/>
      <c r="H298" s="94"/>
      <c r="I298" s="94"/>
      <c r="J298" s="94"/>
      <c r="K298" s="92"/>
      <c r="L298" s="92"/>
      <c r="M298" s="92"/>
      <c r="N298" s="92"/>
      <c r="O298" s="92"/>
      <c r="P298" s="92"/>
      <c r="Q298" s="92"/>
      <c r="R298" s="92"/>
      <c r="S298" s="92"/>
      <c r="T298" s="92"/>
    </row>
    <row r="299" spans="1:20">
      <c r="A299" s="93"/>
      <c r="B299" s="226"/>
      <c r="C299" s="250"/>
      <c r="D299" s="94"/>
      <c r="E299" s="94"/>
      <c r="F299" s="94"/>
      <c r="G299" s="94"/>
      <c r="H299" s="94"/>
      <c r="I299" s="94"/>
      <c r="J299" s="94"/>
      <c r="K299" s="92"/>
      <c r="L299" s="92"/>
      <c r="M299" s="92"/>
      <c r="N299" s="92"/>
      <c r="O299" s="92"/>
      <c r="P299" s="92"/>
      <c r="Q299" s="92"/>
      <c r="R299" s="92"/>
      <c r="S299" s="92"/>
      <c r="T299" s="92"/>
    </row>
    <row r="300" spans="1:20">
      <c r="A300" s="93"/>
      <c r="B300" s="226"/>
      <c r="C300" s="250"/>
      <c r="D300" s="94"/>
      <c r="E300" s="94"/>
      <c r="F300" s="94"/>
      <c r="G300" s="94"/>
      <c r="H300" s="94"/>
      <c r="I300" s="94"/>
      <c r="J300" s="94"/>
      <c r="K300" s="92"/>
      <c r="L300" s="92"/>
      <c r="M300" s="92"/>
      <c r="N300" s="92"/>
      <c r="O300" s="92"/>
      <c r="P300" s="92"/>
      <c r="Q300" s="92"/>
      <c r="R300" s="92"/>
      <c r="S300" s="92"/>
      <c r="T300" s="92"/>
    </row>
    <row r="301" spans="1:20">
      <c r="A301" s="95" t="s">
        <v>305</v>
      </c>
      <c r="B301" s="231"/>
      <c r="C301" s="231"/>
      <c r="D301" s="113">
        <f t="shared" ref="D301:J301" si="70">SUM(D294:D300)</f>
        <v>56179.767857142855</v>
      </c>
      <c r="E301" s="113">
        <f t="shared" si="70"/>
        <v>64887.631875000006</v>
      </c>
      <c r="F301" s="113">
        <f t="shared" si="70"/>
        <v>74325.832875000007</v>
      </c>
      <c r="G301" s="113">
        <f t="shared" si="70"/>
        <v>84545.634895312513</v>
      </c>
      <c r="H301" s="113">
        <f t="shared" si="70"/>
        <v>95601.602535468788</v>
      </c>
      <c r="I301" s="113">
        <f t="shared" si="70"/>
        <v>107551.80285240238</v>
      </c>
      <c r="J301" s="113">
        <f t="shared" si="70"/>
        <v>120458.01919469069</v>
      </c>
      <c r="K301" s="92"/>
      <c r="L301" s="92"/>
      <c r="M301" s="92"/>
      <c r="N301" s="202"/>
      <c r="O301" s="92"/>
      <c r="P301" s="92"/>
      <c r="Q301" s="92"/>
      <c r="R301" s="92"/>
      <c r="S301" s="92"/>
      <c r="T301" s="92"/>
    </row>
    <row r="302" spans="1:20">
      <c r="A302" s="95" t="s">
        <v>129</v>
      </c>
      <c r="B302" s="95"/>
      <c r="C302" s="95"/>
      <c r="D302" s="113">
        <f t="shared" ref="D302:J302" si="71">D292+D301</f>
        <v>37767211.147817835</v>
      </c>
      <c r="E302" s="113">
        <f t="shared" si="71"/>
        <v>45597019.253103212</v>
      </c>
      <c r="F302" s="113">
        <f t="shared" si="71"/>
        <v>52248173.734429494</v>
      </c>
      <c r="G302" s="113">
        <f t="shared" si="71"/>
        <v>59450451.115755685</v>
      </c>
      <c r="H302" s="113">
        <f t="shared" si="71"/>
        <v>67242335.800878406</v>
      </c>
      <c r="I302" s="113">
        <f t="shared" si="71"/>
        <v>75664782.826724023</v>
      </c>
      <c r="J302" s="113">
        <f t="shared" si="71"/>
        <v>84761368.715652019</v>
      </c>
      <c r="K302" s="92"/>
      <c r="L302" s="92"/>
      <c r="M302" s="92"/>
      <c r="N302" s="92"/>
      <c r="O302" s="92"/>
      <c r="P302" s="92"/>
      <c r="Q302" s="92"/>
      <c r="R302" s="92"/>
      <c r="S302" s="92"/>
      <c r="T302" s="92"/>
    </row>
    <row r="303" spans="1:20">
      <c r="A303" s="93"/>
      <c r="B303" s="93"/>
      <c r="C303" s="93"/>
      <c r="D303" s="108"/>
      <c r="E303" s="108"/>
      <c r="F303" s="108"/>
      <c r="G303" s="108"/>
      <c r="H303" s="108"/>
      <c r="I303" s="93"/>
      <c r="J303" s="93"/>
      <c r="K303" s="92"/>
      <c r="L303" s="92"/>
      <c r="M303" s="92"/>
      <c r="N303" s="92"/>
      <c r="O303" s="92"/>
      <c r="P303" s="92"/>
      <c r="Q303" s="92"/>
      <c r="R303" s="92"/>
      <c r="S303" s="92"/>
      <c r="T303" s="92"/>
    </row>
    <row r="304" spans="1:20">
      <c r="A304" s="95"/>
      <c r="B304" s="95"/>
      <c r="C304" s="95"/>
      <c r="D304" s="108"/>
      <c r="E304" s="108"/>
      <c r="F304" s="108"/>
      <c r="G304" s="108"/>
      <c r="H304" s="108"/>
      <c r="I304" s="93"/>
      <c r="J304" s="93"/>
      <c r="K304" s="92"/>
      <c r="L304" s="92"/>
      <c r="M304" s="92"/>
      <c r="N304" s="92"/>
      <c r="O304" s="92"/>
      <c r="P304" s="92"/>
      <c r="Q304" s="92"/>
      <c r="R304" s="92"/>
      <c r="S304" s="92"/>
      <c r="T304" s="92"/>
    </row>
    <row r="305" spans="1:20">
      <c r="A305" s="95" t="s">
        <v>294</v>
      </c>
      <c r="B305" s="95"/>
      <c r="C305" s="95"/>
      <c r="D305" s="113">
        <f t="shared" ref="D305:J305" si="72">D229-D302</f>
        <v>902093.89250716567</v>
      </c>
      <c r="E305" s="113">
        <f t="shared" si="72"/>
        <v>1196677.2745246664</v>
      </c>
      <c r="F305" s="113">
        <f t="shared" si="72"/>
        <v>1372216.6669111252</v>
      </c>
      <c r="G305" s="113">
        <f t="shared" si="72"/>
        <v>1562318.3053498715</v>
      </c>
      <c r="H305" s="113">
        <f t="shared" si="72"/>
        <v>1767999.5659652501</v>
      </c>
      <c r="I305" s="113">
        <f>I229-I302</f>
        <v>1990343.1568787694</v>
      </c>
      <c r="J305" s="113">
        <f t="shared" si="72"/>
        <v>2230501.1079687029</v>
      </c>
      <c r="K305" s="92"/>
      <c r="L305" s="92"/>
      <c r="M305" s="92"/>
      <c r="N305" s="92"/>
      <c r="O305" s="92"/>
      <c r="P305" s="92"/>
      <c r="Q305" s="92"/>
      <c r="R305" s="92"/>
      <c r="S305" s="92"/>
      <c r="T305" s="92"/>
    </row>
    <row r="306" spans="1:20">
      <c r="A306" s="92"/>
      <c r="B306" s="92"/>
      <c r="C306" s="92"/>
      <c r="D306" s="92"/>
      <c r="E306" s="92"/>
      <c r="F306" s="92"/>
      <c r="G306" s="92"/>
      <c r="H306" s="92"/>
      <c r="I306" s="92"/>
      <c r="J306" s="92"/>
    </row>
    <row r="307" spans="1:20">
      <c r="A307" s="92" t="s">
        <v>51</v>
      </c>
      <c r="B307" s="92"/>
      <c r="C307" s="92"/>
      <c r="D307" s="92" t="s">
        <v>626</v>
      </c>
      <c r="E307" s="92"/>
      <c r="F307" s="92"/>
      <c r="G307" s="92"/>
      <c r="H307" s="92"/>
      <c r="I307" s="92"/>
      <c r="J307" s="92"/>
    </row>
    <row r="308" spans="1:20">
      <c r="A308" s="420" t="s">
        <v>399</v>
      </c>
      <c r="B308" s="420"/>
      <c r="C308" s="420"/>
      <c r="D308" s="420"/>
      <c r="E308" s="420"/>
      <c r="F308" s="420"/>
      <c r="G308" s="420"/>
      <c r="H308" s="420"/>
      <c r="I308" s="420"/>
      <c r="J308" s="420"/>
    </row>
    <row r="310" spans="1:20">
      <c r="A310" t="s">
        <v>483</v>
      </c>
    </row>
    <row r="311" spans="1:20">
      <c r="A311">
        <v>1</v>
      </c>
      <c r="B311" t="s">
        <v>495</v>
      </c>
    </row>
    <row r="312" spans="1:20">
      <c r="A312">
        <v>2</v>
      </c>
      <c r="B312" t="s">
        <v>496</v>
      </c>
    </row>
    <row r="313" spans="1:20">
      <c r="A313">
        <v>3</v>
      </c>
      <c r="B313" s="92" t="s">
        <v>537</v>
      </c>
    </row>
  </sheetData>
  <mergeCells count="5">
    <mergeCell ref="A170:J170"/>
    <mergeCell ref="A2:H2"/>
    <mergeCell ref="A308:J308"/>
    <mergeCell ref="F4:H4"/>
    <mergeCell ref="A3:H3"/>
  </mergeCells>
  <pageMargins left="0.7" right="0.7" top="0.75" bottom="0.75" header="0.3" footer="0.3"/>
  <pageSetup paperSize="9"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94"/>
  <sheetViews>
    <sheetView view="pageBreakPreview" topLeftCell="A163" zoomScaleNormal="85" zoomScaleSheetLayoutView="100" workbookViewId="0">
      <selection activeCell="A3" sqref="A3:J185"/>
    </sheetView>
  </sheetViews>
  <sheetFormatPr defaultRowHeight="15"/>
  <cols>
    <col min="1" max="1" width="41.7109375" bestFit="1" customWidth="1"/>
    <col min="2" max="2" width="10.85546875" customWidth="1"/>
    <col min="3" max="3" width="11.5703125" bestFit="1" customWidth="1"/>
    <col min="4" max="10" width="13.42578125" bestFit="1" customWidth="1"/>
    <col min="11" max="11" width="11.140625" bestFit="1" customWidth="1"/>
  </cols>
  <sheetData>
    <row r="3" spans="1:8" ht="18.75">
      <c r="A3" s="419" t="s">
        <v>634</v>
      </c>
      <c r="B3" s="419"/>
      <c r="C3" s="419"/>
      <c r="D3" s="419"/>
      <c r="E3" s="419"/>
      <c r="F3" s="419"/>
      <c r="G3" s="419"/>
      <c r="H3" s="419"/>
    </row>
    <row r="4" spans="1:8" ht="18.75">
      <c r="A4" s="419" t="s">
        <v>531</v>
      </c>
      <c r="B4" s="419"/>
      <c r="C4" s="419"/>
      <c r="D4" s="419"/>
      <c r="E4" s="419"/>
      <c r="F4" s="419"/>
      <c r="G4" s="419"/>
      <c r="H4" s="419"/>
    </row>
    <row r="5" spans="1:8">
      <c r="A5" s="92" t="s">
        <v>160</v>
      </c>
      <c r="B5" s="243">
        <v>2</v>
      </c>
      <c r="C5" s="92" t="s">
        <v>431</v>
      </c>
      <c r="D5" s="92"/>
      <c r="E5" s="92"/>
      <c r="F5" s="92"/>
      <c r="G5" s="92"/>
      <c r="H5" s="92"/>
    </row>
    <row r="6" spans="1:8">
      <c r="A6" s="92" t="s">
        <v>161</v>
      </c>
      <c r="B6" s="272">
        <v>7</v>
      </c>
      <c r="C6" s="92"/>
      <c r="D6" s="92"/>
      <c r="E6" s="92"/>
      <c r="F6" s="92"/>
      <c r="G6" s="92"/>
      <c r="H6" s="92"/>
    </row>
    <row r="7" spans="1:8">
      <c r="A7" s="92"/>
      <c r="B7" s="272"/>
      <c r="C7" s="92"/>
      <c r="D7" s="92"/>
      <c r="E7" s="92"/>
      <c r="F7" s="92"/>
      <c r="G7" s="92"/>
      <c r="H7" s="92"/>
    </row>
    <row r="8" spans="1:8">
      <c r="A8" s="92"/>
      <c r="B8" s="272"/>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168</v>
      </c>
      <c r="H11" s="81" t="s">
        <v>167</v>
      </c>
    </row>
    <row r="12" spans="1:8">
      <c r="A12" s="93" t="s">
        <v>169</v>
      </c>
      <c r="B12" s="302">
        <f>B32/($B$5*$B$6)</f>
        <v>202.50642857142856</v>
      </c>
      <c r="C12" s="302">
        <f t="shared" ref="C12:H12" si="0">C32/($B$5*$B$6)</f>
        <v>216.00685714285714</v>
      </c>
      <c r="D12" s="302">
        <f t="shared" si="0"/>
        <v>229.5072857142857</v>
      </c>
      <c r="E12" s="302">
        <f t="shared" si="0"/>
        <v>243.00771428571426</v>
      </c>
      <c r="F12" s="302">
        <f t="shared" si="0"/>
        <v>256.50814285714284</v>
      </c>
      <c r="G12" s="302">
        <f t="shared" si="0"/>
        <v>270.00857142857143</v>
      </c>
      <c r="H12" s="302">
        <f t="shared" si="0"/>
        <v>283.50899999999996</v>
      </c>
    </row>
    <row r="13" spans="1:8" hidden="1">
      <c r="A13" s="93" t="str">
        <f>'10.Grain Production details'!A68</f>
        <v>Soybean</v>
      </c>
      <c r="B13" s="93">
        <f>'10.Grain Production details'!B68</f>
        <v>0</v>
      </c>
      <c r="C13" s="93">
        <f>'10.Grain Production details'!C68</f>
        <v>0</v>
      </c>
      <c r="D13" s="93">
        <f>'10.Grain Production details'!D68</f>
        <v>0</v>
      </c>
      <c r="E13" s="93">
        <f>'10.Grain Production details'!E68</f>
        <v>0</v>
      </c>
      <c r="F13" s="93">
        <f>'10.Grain Production details'!F68</f>
        <v>0</v>
      </c>
      <c r="G13" s="93">
        <f>'10.Grain Production details'!G68</f>
        <v>0</v>
      </c>
      <c r="H13" s="93">
        <f>'10.Grain Production details'!H68</f>
        <v>0</v>
      </c>
    </row>
    <row r="14" spans="1:8" hidden="1">
      <c r="A14" s="93" t="str">
        <f>'10.Grain Production details'!A69</f>
        <v>Red Gram/Tur</v>
      </c>
      <c r="B14" s="93">
        <f>'10.Grain Production details'!B69</f>
        <v>0</v>
      </c>
      <c r="C14" s="93">
        <f>'10.Grain Production details'!C69</f>
        <v>0</v>
      </c>
      <c r="D14" s="93">
        <f>'10.Grain Production details'!D69</f>
        <v>0</v>
      </c>
      <c r="E14" s="93">
        <f>'10.Grain Production details'!E69</f>
        <v>0</v>
      </c>
      <c r="F14" s="93">
        <f>'10.Grain Production details'!F69</f>
        <v>0</v>
      </c>
      <c r="G14" s="93">
        <f>'10.Grain Production details'!G69</f>
        <v>0</v>
      </c>
      <c r="H14" s="93">
        <f>'10.Grain Production details'!H69</f>
        <v>0</v>
      </c>
    </row>
    <row r="15" spans="1:8" hidden="1">
      <c r="A15" s="93" t="str">
        <f>'10.Grain Production details'!A70</f>
        <v>Paddy/Rice</v>
      </c>
      <c r="B15" s="93">
        <f>'10.Grain Production details'!B70</f>
        <v>0</v>
      </c>
      <c r="C15" s="93">
        <f>'10.Grain Production details'!C70</f>
        <v>0</v>
      </c>
      <c r="D15" s="93">
        <f>'10.Grain Production details'!D70</f>
        <v>0</v>
      </c>
      <c r="E15" s="93">
        <f>'10.Grain Production details'!E70</f>
        <v>0</v>
      </c>
      <c r="F15" s="93">
        <f>'10.Grain Production details'!F70</f>
        <v>0</v>
      </c>
      <c r="G15" s="93">
        <f>'10.Grain Production details'!G70</f>
        <v>0</v>
      </c>
      <c r="H15" s="93">
        <f>'10.Grain Production details'!H70</f>
        <v>0</v>
      </c>
    </row>
    <row r="16" spans="1:8" hidden="1">
      <c r="A16" s="93" t="str">
        <f>'10.Grain Production details'!A71</f>
        <v>Green Gram/ Moong</v>
      </c>
      <c r="B16" s="93">
        <f>'10.Grain Production details'!B71</f>
        <v>0</v>
      </c>
      <c r="C16" s="93">
        <f>'10.Grain Production details'!C71</f>
        <v>0</v>
      </c>
      <c r="D16" s="93">
        <f>'10.Grain Production details'!D71</f>
        <v>0</v>
      </c>
      <c r="E16" s="93">
        <f>'10.Grain Production details'!E71</f>
        <v>0</v>
      </c>
      <c r="F16" s="93">
        <f>'10.Grain Production details'!F71</f>
        <v>0</v>
      </c>
      <c r="G16" s="93">
        <f>'10.Grain Production details'!G71</f>
        <v>0</v>
      </c>
      <c r="H16" s="93">
        <f>'10.Grain Production details'!H71</f>
        <v>0</v>
      </c>
    </row>
    <row r="17" spans="1:8" hidden="1">
      <c r="A17" s="93" t="str">
        <f>'10.Grain Production details'!A72</f>
        <v>Maize</v>
      </c>
      <c r="B17" s="93">
        <f>'10.Grain Production details'!B72</f>
        <v>0</v>
      </c>
      <c r="C17" s="93">
        <f>'10.Grain Production details'!C72</f>
        <v>0</v>
      </c>
      <c r="D17" s="93">
        <f>'10.Grain Production details'!D72</f>
        <v>0</v>
      </c>
      <c r="E17" s="93">
        <f>'10.Grain Production details'!E72</f>
        <v>0</v>
      </c>
      <c r="F17" s="93">
        <f>'10.Grain Production details'!F72</f>
        <v>0</v>
      </c>
      <c r="G17" s="93">
        <f>'10.Grain Production details'!G72</f>
        <v>0</v>
      </c>
      <c r="H17" s="93">
        <f>'10.Grain Production details'!H72</f>
        <v>0</v>
      </c>
    </row>
    <row r="18" spans="1:8" hidden="1">
      <c r="A18" s="93" t="str">
        <f>'10.Grain Production details'!A73</f>
        <v>Black Gram/Udid</v>
      </c>
      <c r="B18" s="93">
        <f>'10.Grain Production details'!B73</f>
        <v>0</v>
      </c>
      <c r="C18" s="93">
        <f>'10.Grain Production details'!C73</f>
        <v>0</v>
      </c>
      <c r="D18" s="93">
        <f>'10.Grain Production details'!D73</f>
        <v>0</v>
      </c>
      <c r="E18" s="93">
        <f>'10.Grain Production details'!E73</f>
        <v>0</v>
      </c>
      <c r="F18" s="93">
        <f>'10.Grain Production details'!F73</f>
        <v>0</v>
      </c>
      <c r="G18" s="93">
        <f>'10.Grain Production details'!G73</f>
        <v>0</v>
      </c>
      <c r="H18" s="93">
        <f>'10.Grain Production details'!H73</f>
        <v>0</v>
      </c>
    </row>
    <row r="19" spans="1:8" hidden="1">
      <c r="A19" s="93" t="str">
        <f>'10.Grain Production details'!A74</f>
        <v>Bajra</v>
      </c>
      <c r="B19" s="93">
        <f>'10.Grain Production details'!B74</f>
        <v>0</v>
      </c>
      <c r="C19" s="93">
        <f>'10.Grain Production details'!C74</f>
        <v>0</v>
      </c>
      <c r="D19" s="93">
        <f>'10.Grain Production details'!D74</f>
        <v>0</v>
      </c>
      <c r="E19" s="93">
        <f>'10.Grain Production details'!E74</f>
        <v>0</v>
      </c>
      <c r="F19" s="93">
        <f>'10.Grain Production details'!F74</f>
        <v>0</v>
      </c>
      <c r="G19" s="93">
        <f>'10.Grain Production details'!G74</f>
        <v>0</v>
      </c>
      <c r="H19" s="93">
        <f>'10.Grain Production details'!H74</f>
        <v>0</v>
      </c>
    </row>
    <row r="20" spans="1:8" hidden="1">
      <c r="A20" s="93" t="str">
        <f>'10.Grain Production details'!A75</f>
        <v>Jawar</v>
      </c>
      <c r="B20" s="93">
        <f>'10.Grain Production details'!B75</f>
        <v>0</v>
      </c>
      <c r="C20" s="93">
        <f>'10.Grain Production details'!C75</f>
        <v>0</v>
      </c>
      <c r="D20" s="93">
        <f>'10.Grain Production details'!D75</f>
        <v>0</v>
      </c>
      <c r="E20" s="93">
        <f>'10.Grain Production details'!E75</f>
        <v>0</v>
      </c>
      <c r="F20" s="93">
        <f>'10.Grain Production details'!F75</f>
        <v>0</v>
      </c>
      <c r="G20" s="93">
        <f>'10.Grain Production details'!G75</f>
        <v>0</v>
      </c>
      <c r="H20" s="93">
        <f>'10.Grain Production details'!H75</f>
        <v>0</v>
      </c>
    </row>
    <row r="21" spans="1:8" hidden="1">
      <c r="A21" s="93" t="str">
        <f>'10.Grain Production details'!A76</f>
        <v>Sunflower</v>
      </c>
      <c r="B21" s="93">
        <f>'10.Grain Production details'!B76</f>
        <v>0</v>
      </c>
      <c r="C21" s="93">
        <f>'10.Grain Production details'!C76</f>
        <v>0</v>
      </c>
      <c r="D21" s="93">
        <f>'10.Grain Production details'!D76</f>
        <v>0</v>
      </c>
      <c r="E21" s="93">
        <f>'10.Grain Production details'!E76</f>
        <v>0</v>
      </c>
      <c r="F21" s="93">
        <f>'10.Grain Production details'!F76</f>
        <v>0</v>
      </c>
      <c r="G21" s="93">
        <f>'10.Grain Production details'!G76</f>
        <v>0</v>
      </c>
      <c r="H21" s="93">
        <f>'10.Grain Production details'!H76</f>
        <v>0</v>
      </c>
    </row>
    <row r="22" spans="1:8" hidden="1">
      <c r="A22" s="93" t="str">
        <f>'10.Grain Production details'!A77</f>
        <v>Wheat</v>
      </c>
      <c r="B22" s="93">
        <f>'10.Grain Production details'!B77</f>
        <v>0</v>
      </c>
      <c r="C22" s="93">
        <f>'10.Grain Production details'!C77</f>
        <v>0</v>
      </c>
      <c r="D22" s="93">
        <f>'10.Grain Production details'!D77</f>
        <v>0</v>
      </c>
      <c r="E22" s="93">
        <f>'10.Grain Production details'!E77</f>
        <v>0</v>
      </c>
      <c r="F22" s="93">
        <f>'10.Grain Production details'!F77</f>
        <v>0</v>
      </c>
      <c r="G22" s="93">
        <f>'10.Grain Production details'!G77</f>
        <v>0</v>
      </c>
      <c r="H22" s="93">
        <f>'10.Grain Production details'!H77</f>
        <v>0</v>
      </c>
    </row>
    <row r="23" spans="1:8">
      <c r="A23" s="93" t="str">
        <f>'10.Grain Production details'!A78</f>
        <v>Bengal Gram/Channa</v>
      </c>
      <c r="B23" s="93">
        <f>'10.Grain Production details'!B78</f>
        <v>0</v>
      </c>
      <c r="C23" s="93">
        <f>'10.Grain Production details'!C78</f>
        <v>0</v>
      </c>
      <c r="D23" s="93">
        <f>'10.Grain Production details'!D78</f>
        <v>0</v>
      </c>
      <c r="E23" s="93">
        <f>'10.Grain Production details'!E78</f>
        <v>0</v>
      </c>
      <c r="F23" s="93">
        <f>'10.Grain Production details'!F78</f>
        <v>0</v>
      </c>
      <c r="G23" s="93">
        <f>'10.Grain Production details'!G78</f>
        <v>0</v>
      </c>
      <c r="H23" s="93">
        <f>'10.Grain Production details'!H78</f>
        <v>0</v>
      </c>
    </row>
    <row r="24" spans="1:8">
      <c r="A24" s="93" t="str">
        <f>'10.Grain Production details'!A79</f>
        <v>Jawar</v>
      </c>
      <c r="B24" s="93">
        <f>'10.Grain Production details'!B79</f>
        <v>2835.0899999999997</v>
      </c>
      <c r="C24" s="302">
        <f>'10.Grain Production details'!C79</f>
        <v>3024.096</v>
      </c>
      <c r="D24" s="93">
        <f>'10.Grain Production details'!D79</f>
        <v>3213.1019999999999</v>
      </c>
      <c r="E24" s="93">
        <f>'10.Grain Production details'!E79</f>
        <v>3402.1079999999997</v>
      </c>
      <c r="F24" s="93">
        <f>'10.Grain Production details'!F79</f>
        <v>3591.1139999999996</v>
      </c>
      <c r="G24" s="93">
        <f>'10.Grain Production details'!G79</f>
        <v>3780.12</v>
      </c>
      <c r="H24" s="93">
        <f>'10.Grain Production details'!H79</f>
        <v>3969.1259999999997</v>
      </c>
    </row>
    <row r="25" spans="1:8">
      <c r="A25" s="93" t="str">
        <f>'10.Grain Production details'!A80</f>
        <v>Maize</v>
      </c>
      <c r="B25" s="93">
        <f>'10.Grain Production details'!B80</f>
        <v>0</v>
      </c>
      <c r="C25" s="93">
        <f>'10.Grain Production details'!C80</f>
        <v>0</v>
      </c>
      <c r="D25" s="93">
        <f>'10.Grain Production details'!D80</f>
        <v>0</v>
      </c>
      <c r="E25" s="93">
        <f>'10.Grain Production details'!E80</f>
        <v>0</v>
      </c>
      <c r="F25" s="93">
        <f>'10.Grain Production details'!F80</f>
        <v>0</v>
      </c>
      <c r="G25" s="93">
        <f>'10.Grain Production details'!G80</f>
        <v>0</v>
      </c>
      <c r="H25" s="93">
        <f>'10.Grain Production details'!H80</f>
        <v>0</v>
      </c>
    </row>
    <row r="26" spans="1:8">
      <c r="A26" s="93" t="str">
        <f>'10.Grain Production details'!A81</f>
        <v>Safflower</v>
      </c>
      <c r="B26" s="93">
        <f>'10.Grain Production details'!B81</f>
        <v>0</v>
      </c>
      <c r="C26" s="93">
        <f>'10.Grain Production details'!C81</f>
        <v>0</v>
      </c>
      <c r="D26" s="93">
        <f>'10.Grain Production details'!D81</f>
        <v>0</v>
      </c>
      <c r="E26" s="93">
        <f>'10.Grain Production details'!E81</f>
        <v>0</v>
      </c>
      <c r="F26" s="93">
        <f>'10.Grain Production details'!F81</f>
        <v>0</v>
      </c>
      <c r="G26" s="93">
        <f>'10.Grain Production details'!G81</f>
        <v>0</v>
      </c>
      <c r="H26" s="93">
        <f>'10.Grain Production details'!H81</f>
        <v>0</v>
      </c>
    </row>
    <row r="27" spans="1:8" hidden="1">
      <c r="A27" s="93">
        <f>'10.Grain Production details'!A82</f>
        <v>0</v>
      </c>
      <c r="B27" s="93">
        <f>'10.Grain Production details'!B82</f>
        <v>0</v>
      </c>
      <c r="C27" s="93">
        <f>'10.Grain Production details'!C82</f>
        <v>0</v>
      </c>
      <c r="D27" s="93">
        <f>'10.Grain Production details'!D82</f>
        <v>0</v>
      </c>
      <c r="E27" s="93">
        <f>'10.Grain Production details'!E82</f>
        <v>0</v>
      </c>
      <c r="F27" s="93">
        <f>'10.Grain Production details'!F82</f>
        <v>0</v>
      </c>
      <c r="G27" s="93">
        <f>'10.Grain Production details'!G82</f>
        <v>0</v>
      </c>
      <c r="H27" s="93">
        <f>'10.Grain Production details'!H82</f>
        <v>0</v>
      </c>
    </row>
    <row r="28" spans="1:8" hidden="1">
      <c r="A28" s="93">
        <f>'10.Grain Production details'!A83</f>
        <v>0</v>
      </c>
      <c r="B28" s="93">
        <f>'10.Grain Production details'!B83</f>
        <v>0</v>
      </c>
      <c r="C28" s="93">
        <f>'10.Grain Production details'!C83</f>
        <v>0</v>
      </c>
      <c r="D28" s="93">
        <f>'10.Grain Production details'!D83</f>
        <v>0</v>
      </c>
      <c r="E28" s="93">
        <f>'10.Grain Production details'!E83</f>
        <v>0</v>
      </c>
      <c r="F28" s="93">
        <f>'10.Grain Production details'!F83</f>
        <v>0</v>
      </c>
      <c r="G28" s="93">
        <f>'10.Grain Production details'!G83</f>
        <v>0</v>
      </c>
      <c r="H28" s="93">
        <f>'10.Grain Production details'!H83</f>
        <v>0</v>
      </c>
    </row>
    <row r="29" spans="1:8" hidden="1">
      <c r="A29" s="93">
        <f>'10.Grain Production details'!A84</f>
        <v>0</v>
      </c>
      <c r="B29" s="93">
        <f>'10.Grain Production details'!B84</f>
        <v>0</v>
      </c>
      <c r="C29" s="93">
        <f>'10.Grain Production details'!C84</f>
        <v>0</v>
      </c>
      <c r="D29" s="93">
        <f>'10.Grain Production details'!D84</f>
        <v>0</v>
      </c>
      <c r="E29" s="93">
        <f>'10.Grain Production details'!E84</f>
        <v>0</v>
      </c>
      <c r="F29" s="93">
        <f>'10.Grain Production details'!F84</f>
        <v>0</v>
      </c>
      <c r="G29" s="93">
        <f>'10.Grain Production details'!G84</f>
        <v>0</v>
      </c>
      <c r="H29" s="93">
        <f>'10.Grain Production details'!H84</f>
        <v>0</v>
      </c>
    </row>
    <row r="30" spans="1:8">
      <c r="A30" s="93" t="str">
        <f>'10.Grain Production details'!A85</f>
        <v>Maize</v>
      </c>
      <c r="B30" s="93">
        <f>'10.Grain Production details'!B85</f>
        <v>0</v>
      </c>
      <c r="C30" s="93">
        <f>'10.Grain Production details'!C85</f>
        <v>0</v>
      </c>
      <c r="D30" s="93">
        <f>'10.Grain Production details'!D85</f>
        <v>0</v>
      </c>
      <c r="E30" s="93">
        <f>'10.Grain Production details'!E85</f>
        <v>0</v>
      </c>
      <c r="F30" s="93">
        <f>'10.Grain Production details'!F85</f>
        <v>0</v>
      </c>
      <c r="G30" s="93">
        <f>'10.Grain Production details'!G85</f>
        <v>0</v>
      </c>
      <c r="H30" s="93">
        <f>'10.Grain Production details'!H85</f>
        <v>0</v>
      </c>
    </row>
    <row r="31" spans="1:8">
      <c r="A31" s="93">
        <f>'10.Grain Production details'!A86</f>
        <v>0</v>
      </c>
      <c r="B31" s="93">
        <f>'10.Grain Production details'!B86</f>
        <v>0</v>
      </c>
      <c r="C31" s="93">
        <f>'10.Grain Production details'!C86</f>
        <v>0</v>
      </c>
      <c r="D31" s="93">
        <f>'10.Grain Production details'!D86</f>
        <v>0</v>
      </c>
      <c r="E31" s="93">
        <f>'10.Grain Production details'!E86</f>
        <v>0</v>
      </c>
      <c r="F31" s="93">
        <f>'10.Grain Production details'!F86</f>
        <v>0</v>
      </c>
      <c r="G31" s="93">
        <f>'10.Grain Production details'!G86</f>
        <v>0</v>
      </c>
      <c r="H31" s="93">
        <f>'10.Grain Production details'!H86</f>
        <v>0</v>
      </c>
    </row>
    <row r="32" spans="1:8">
      <c r="A32" s="93" t="s">
        <v>422</v>
      </c>
      <c r="B32" s="93">
        <f>SUM(B13:B31)</f>
        <v>2835.0899999999997</v>
      </c>
      <c r="C32" s="93">
        <f t="shared" ref="C32:H32" si="1">SUM(C13:C31)</f>
        <v>3024.096</v>
      </c>
      <c r="D32" s="93">
        <f t="shared" si="1"/>
        <v>3213.1019999999999</v>
      </c>
      <c r="E32" s="93">
        <f t="shared" si="1"/>
        <v>3402.1079999999997</v>
      </c>
      <c r="F32" s="93">
        <f t="shared" si="1"/>
        <v>3591.1139999999996</v>
      </c>
      <c r="G32" s="93">
        <f t="shared" si="1"/>
        <v>3780.12</v>
      </c>
      <c r="H32" s="93">
        <f t="shared" si="1"/>
        <v>3969.1259999999997</v>
      </c>
    </row>
    <row r="33" spans="1:8">
      <c r="A33" s="310" t="s">
        <v>635</v>
      </c>
      <c r="B33" s="271">
        <v>0</v>
      </c>
      <c r="C33" s="271">
        <f>B33</f>
        <v>0</v>
      </c>
      <c r="D33" s="271">
        <f t="shared" ref="D33:H33" si="2">C33</f>
        <v>0</v>
      </c>
      <c r="E33" s="271">
        <f t="shared" si="2"/>
        <v>0</v>
      </c>
      <c r="F33" s="271">
        <f t="shared" si="2"/>
        <v>0</v>
      </c>
      <c r="G33" s="271">
        <f t="shared" si="2"/>
        <v>0</v>
      </c>
      <c r="H33" s="271">
        <f t="shared" si="2"/>
        <v>0</v>
      </c>
    </row>
    <row r="34" spans="1:8">
      <c r="A34" s="97" t="s">
        <v>432</v>
      </c>
      <c r="B34" s="311">
        <f>1-B33</f>
        <v>1</v>
      </c>
      <c r="C34" s="311">
        <f t="shared" ref="C34:H34" si="3">1-C33</f>
        <v>1</v>
      </c>
      <c r="D34" s="311">
        <f t="shared" si="3"/>
        <v>1</v>
      </c>
      <c r="E34" s="311">
        <f t="shared" si="3"/>
        <v>1</v>
      </c>
      <c r="F34" s="311">
        <f t="shared" si="3"/>
        <v>1</v>
      </c>
      <c r="G34" s="311">
        <f t="shared" si="3"/>
        <v>1</v>
      </c>
      <c r="H34" s="311">
        <f t="shared" si="3"/>
        <v>1</v>
      </c>
    </row>
    <row r="35" spans="1:8">
      <c r="A35" s="95" t="s">
        <v>164</v>
      </c>
      <c r="B35" s="252">
        <f>B32*B33</f>
        <v>0</v>
      </c>
      <c r="C35" s="252">
        <f t="shared" ref="C35:H35" si="4">C32*C33</f>
        <v>0</v>
      </c>
      <c r="D35" s="252">
        <f t="shared" si="4"/>
        <v>0</v>
      </c>
      <c r="E35" s="252">
        <f t="shared" si="4"/>
        <v>0</v>
      </c>
      <c r="F35" s="252">
        <f t="shared" si="4"/>
        <v>0</v>
      </c>
      <c r="G35" s="252">
        <f t="shared" si="4"/>
        <v>0</v>
      </c>
      <c r="H35" s="252">
        <f t="shared" si="4"/>
        <v>0</v>
      </c>
    </row>
    <row r="36" spans="1:8">
      <c r="A36" s="95" t="s">
        <v>165</v>
      </c>
      <c r="B36" s="113"/>
      <c r="C36" s="113"/>
      <c r="D36" s="113"/>
      <c r="E36" s="113"/>
      <c r="F36" s="113"/>
      <c r="G36" s="113"/>
      <c r="H36" s="113"/>
    </row>
    <row r="37" spans="1:8" hidden="1">
      <c r="A37" s="93" t="str">
        <f t="shared" ref="A37:A55" si="5">A13</f>
        <v>Soybean</v>
      </c>
      <c r="B37" s="94">
        <f t="shared" ref="B37:B55" si="6">B13*$B$34</f>
        <v>0</v>
      </c>
      <c r="C37" s="94">
        <f t="shared" ref="C37:H37" si="7">C13*$B$34</f>
        <v>0</v>
      </c>
      <c r="D37" s="94">
        <f t="shared" si="7"/>
        <v>0</v>
      </c>
      <c r="E37" s="94">
        <f t="shared" si="7"/>
        <v>0</v>
      </c>
      <c r="F37" s="94">
        <f t="shared" si="7"/>
        <v>0</v>
      </c>
      <c r="G37" s="94">
        <f t="shared" si="7"/>
        <v>0</v>
      </c>
      <c r="H37" s="94">
        <f t="shared" si="7"/>
        <v>0</v>
      </c>
    </row>
    <row r="38" spans="1:8" hidden="1">
      <c r="A38" s="93" t="str">
        <f t="shared" si="5"/>
        <v>Red Gram/Tur</v>
      </c>
      <c r="B38" s="94">
        <f t="shared" si="6"/>
        <v>0</v>
      </c>
      <c r="C38" s="94">
        <f t="shared" ref="C38:C55" si="8">C14*$C$34</f>
        <v>0</v>
      </c>
      <c r="D38" s="94">
        <f t="shared" ref="D38:D55" si="9">D14*$D$34</f>
        <v>0</v>
      </c>
      <c r="E38" s="94">
        <f t="shared" ref="E38:E55" si="10">E14*$E$34</f>
        <v>0</v>
      </c>
      <c r="F38" s="94">
        <f t="shared" ref="F38:F55" si="11">F14*$F$34</f>
        <v>0</v>
      </c>
      <c r="G38" s="94">
        <f t="shared" ref="G38:G55" si="12">G14*$G$34</f>
        <v>0</v>
      </c>
      <c r="H38" s="94">
        <f t="shared" ref="H38:H55" si="13">H14*$H$34</f>
        <v>0</v>
      </c>
    </row>
    <row r="39" spans="1:8" hidden="1">
      <c r="A39" s="93" t="str">
        <f t="shared" si="5"/>
        <v>Paddy/Rice</v>
      </c>
      <c r="B39" s="94">
        <f t="shared" si="6"/>
        <v>0</v>
      </c>
      <c r="C39" s="94">
        <f t="shared" si="8"/>
        <v>0</v>
      </c>
      <c r="D39" s="94">
        <f t="shared" si="9"/>
        <v>0</v>
      </c>
      <c r="E39" s="94">
        <f t="shared" si="10"/>
        <v>0</v>
      </c>
      <c r="F39" s="94">
        <f t="shared" si="11"/>
        <v>0</v>
      </c>
      <c r="G39" s="94">
        <f t="shared" si="12"/>
        <v>0</v>
      </c>
      <c r="H39" s="94">
        <f t="shared" si="13"/>
        <v>0</v>
      </c>
    </row>
    <row r="40" spans="1:8" hidden="1">
      <c r="A40" s="93" t="str">
        <f t="shared" si="5"/>
        <v>Green Gram/ Moong</v>
      </c>
      <c r="B40" s="94">
        <f t="shared" si="6"/>
        <v>0</v>
      </c>
      <c r="C40" s="94">
        <f t="shared" si="8"/>
        <v>0</v>
      </c>
      <c r="D40" s="94">
        <f t="shared" si="9"/>
        <v>0</v>
      </c>
      <c r="E40" s="94">
        <f t="shared" si="10"/>
        <v>0</v>
      </c>
      <c r="F40" s="94">
        <f t="shared" si="11"/>
        <v>0</v>
      </c>
      <c r="G40" s="94">
        <f t="shared" si="12"/>
        <v>0</v>
      </c>
      <c r="H40" s="94">
        <f t="shared" si="13"/>
        <v>0</v>
      </c>
    </row>
    <row r="41" spans="1:8" hidden="1">
      <c r="A41" s="93" t="str">
        <f t="shared" si="5"/>
        <v>Maize</v>
      </c>
      <c r="B41" s="94">
        <f t="shared" si="6"/>
        <v>0</v>
      </c>
      <c r="C41" s="94">
        <f t="shared" si="8"/>
        <v>0</v>
      </c>
      <c r="D41" s="94">
        <f t="shared" si="9"/>
        <v>0</v>
      </c>
      <c r="E41" s="94">
        <f t="shared" si="10"/>
        <v>0</v>
      </c>
      <c r="F41" s="94">
        <f t="shared" si="11"/>
        <v>0</v>
      </c>
      <c r="G41" s="94">
        <f t="shared" si="12"/>
        <v>0</v>
      </c>
      <c r="H41" s="94">
        <f t="shared" si="13"/>
        <v>0</v>
      </c>
    </row>
    <row r="42" spans="1:8" hidden="1">
      <c r="A42" s="93" t="str">
        <f t="shared" si="5"/>
        <v>Black Gram/Udid</v>
      </c>
      <c r="B42" s="94">
        <f t="shared" si="6"/>
        <v>0</v>
      </c>
      <c r="C42" s="94">
        <f t="shared" si="8"/>
        <v>0</v>
      </c>
      <c r="D42" s="94">
        <f t="shared" si="9"/>
        <v>0</v>
      </c>
      <c r="E42" s="94">
        <f t="shared" si="10"/>
        <v>0</v>
      </c>
      <c r="F42" s="94">
        <f t="shared" si="11"/>
        <v>0</v>
      </c>
      <c r="G42" s="94">
        <f t="shared" si="12"/>
        <v>0</v>
      </c>
      <c r="H42" s="94">
        <f t="shared" si="13"/>
        <v>0</v>
      </c>
    </row>
    <row r="43" spans="1:8" hidden="1">
      <c r="A43" s="93" t="str">
        <f t="shared" si="5"/>
        <v>Bajra</v>
      </c>
      <c r="B43" s="94">
        <f t="shared" si="6"/>
        <v>0</v>
      </c>
      <c r="C43" s="94">
        <f t="shared" si="8"/>
        <v>0</v>
      </c>
      <c r="D43" s="94">
        <f t="shared" si="9"/>
        <v>0</v>
      </c>
      <c r="E43" s="94">
        <f t="shared" si="10"/>
        <v>0</v>
      </c>
      <c r="F43" s="94">
        <f t="shared" si="11"/>
        <v>0</v>
      </c>
      <c r="G43" s="94">
        <f t="shared" si="12"/>
        <v>0</v>
      </c>
      <c r="H43" s="94">
        <f t="shared" si="13"/>
        <v>0</v>
      </c>
    </row>
    <row r="44" spans="1:8" hidden="1">
      <c r="A44" s="93" t="str">
        <f t="shared" si="5"/>
        <v>Jawar</v>
      </c>
      <c r="B44" s="94">
        <f t="shared" si="6"/>
        <v>0</v>
      </c>
      <c r="C44" s="94">
        <f t="shared" si="8"/>
        <v>0</v>
      </c>
      <c r="D44" s="94">
        <f t="shared" si="9"/>
        <v>0</v>
      </c>
      <c r="E44" s="94">
        <f t="shared" si="10"/>
        <v>0</v>
      </c>
      <c r="F44" s="94">
        <f t="shared" si="11"/>
        <v>0</v>
      </c>
      <c r="G44" s="94">
        <f t="shared" si="12"/>
        <v>0</v>
      </c>
      <c r="H44" s="94">
        <f t="shared" si="13"/>
        <v>0</v>
      </c>
    </row>
    <row r="45" spans="1:8" hidden="1">
      <c r="A45" s="93" t="str">
        <f t="shared" si="5"/>
        <v>Sunflower</v>
      </c>
      <c r="B45" s="94">
        <f t="shared" si="6"/>
        <v>0</v>
      </c>
      <c r="C45" s="94">
        <f t="shared" si="8"/>
        <v>0</v>
      </c>
      <c r="D45" s="94">
        <f t="shared" si="9"/>
        <v>0</v>
      </c>
      <c r="E45" s="94">
        <f t="shared" si="10"/>
        <v>0</v>
      </c>
      <c r="F45" s="94">
        <f t="shared" si="11"/>
        <v>0</v>
      </c>
      <c r="G45" s="94">
        <f t="shared" si="12"/>
        <v>0</v>
      </c>
      <c r="H45" s="94">
        <f t="shared" si="13"/>
        <v>0</v>
      </c>
    </row>
    <row r="46" spans="1:8" hidden="1">
      <c r="A46" s="93" t="str">
        <f t="shared" si="5"/>
        <v>Wheat</v>
      </c>
      <c r="B46" s="94">
        <f t="shared" si="6"/>
        <v>0</v>
      </c>
      <c r="C46" s="94">
        <f t="shared" si="8"/>
        <v>0</v>
      </c>
      <c r="D46" s="94">
        <f t="shared" si="9"/>
        <v>0</v>
      </c>
      <c r="E46" s="94">
        <f t="shared" si="10"/>
        <v>0</v>
      </c>
      <c r="F46" s="94">
        <f t="shared" si="11"/>
        <v>0</v>
      </c>
      <c r="G46" s="94">
        <f t="shared" si="12"/>
        <v>0</v>
      </c>
      <c r="H46" s="94">
        <f t="shared" si="13"/>
        <v>0</v>
      </c>
    </row>
    <row r="47" spans="1:8">
      <c r="A47" s="93" t="str">
        <f t="shared" si="5"/>
        <v>Bengal Gram/Channa</v>
      </c>
      <c r="B47" s="94">
        <f t="shared" si="6"/>
        <v>0</v>
      </c>
      <c r="C47" s="94">
        <f t="shared" si="8"/>
        <v>0</v>
      </c>
      <c r="D47" s="94">
        <f t="shared" si="9"/>
        <v>0</v>
      </c>
      <c r="E47" s="94">
        <f t="shared" si="10"/>
        <v>0</v>
      </c>
      <c r="F47" s="94">
        <f t="shared" si="11"/>
        <v>0</v>
      </c>
      <c r="G47" s="94">
        <f t="shared" si="12"/>
        <v>0</v>
      </c>
      <c r="H47" s="94">
        <f t="shared" si="13"/>
        <v>0</v>
      </c>
    </row>
    <row r="48" spans="1:8">
      <c r="A48" s="93" t="str">
        <f t="shared" si="5"/>
        <v>Jawar</v>
      </c>
      <c r="B48" s="94">
        <f t="shared" si="6"/>
        <v>2835.0899999999997</v>
      </c>
      <c r="C48" s="94">
        <f>C24*$C$34</f>
        <v>3024.096</v>
      </c>
      <c r="D48" s="94">
        <f t="shared" si="9"/>
        <v>3213.1019999999999</v>
      </c>
      <c r="E48" s="94">
        <f t="shared" si="10"/>
        <v>3402.1079999999997</v>
      </c>
      <c r="F48" s="94">
        <f t="shared" si="11"/>
        <v>3591.1139999999996</v>
      </c>
      <c r="G48" s="94">
        <f t="shared" si="12"/>
        <v>3780.12</v>
      </c>
      <c r="H48" s="94">
        <f t="shared" si="13"/>
        <v>3969.1259999999997</v>
      </c>
    </row>
    <row r="49" spans="1:8">
      <c r="A49" s="93" t="str">
        <f t="shared" si="5"/>
        <v>Maize</v>
      </c>
      <c r="B49" s="94">
        <f t="shared" si="6"/>
        <v>0</v>
      </c>
      <c r="C49" s="94">
        <f t="shared" si="8"/>
        <v>0</v>
      </c>
      <c r="D49" s="94">
        <f t="shared" si="9"/>
        <v>0</v>
      </c>
      <c r="E49" s="94">
        <f t="shared" si="10"/>
        <v>0</v>
      </c>
      <c r="F49" s="94">
        <f t="shared" si="11"/>
        <v>0</v>
      </c>
      <c r="G49" s="94">
        <f t="shared" si="12"/>
        <v>0</v>
      </c>
      <c r="H49" s="94">
        <f t="shared" si="13"/>
        <v>0</v>
      </c>
    </row>
    <row r="50" spans="1:8">
      <c r="A50" s="93" t="str">
        <f t="shared" si="5"/>
        <v>Safflower</v>
      </c>
      <c r="B50" s="94">
        <f t="shared" si="6"/>
        <v>0</v>
      </c>
      <c r="C50" s="94">
        <f t="shared" si="8"/>
        <v>0</v>
      </c>
      <c r="D50" s="94">
        <f t="shared" si="9"/>
        <v>0</v>
      </c>
      <c r="E50" s="94">
        <f t="shared" si="10"/>
        <v>0</v>
      </c>
      <c r="F50" s="94">
        <f t="shared" si="11"/>
        <v>0</v>
      </c>
      <c r="G50" s="94">
        <f t="shared" si="12"/>
        <v>0</v>
      </c>
      <c r="H50" s="94">
        <f t="shared" si="13"/>
        <v>0</v>
      </c>
    </row>
    <row r="51" spans="1:8" hidden="1">
      <c r="A51" s="93">
        <f t="shared" si="5"/>
        <v>0</v>
      </c>
      <c r="B51" s="94">
        <f t="shared" si="6"/>
        <v>0</v>
      </c>
      <c r="C51" s="94">
        <f t="shared" si="8"/>
        <v>0</v>
      </c>
      <c r="D51" s="94">
        <f t="shared" si="9"/>
        <v>0</v>
      </c>
      <c r="E51" s="94">
        <f t="shared" si="10"/>
        <v>0</v>
      </c>
      <c r="F51" s="94">
        <f t="shared" si="11"/>
        <v>0</v>
      </c>
      <c r="G51" s="94">
        <f t="shared" si="12"/>
        <v>0</v>
      </c>
      <c r="H51" s="94">
        <f t="shared" si="13"/>
        <v>0</v>
      </c>
    </row>
    <row r="52" spans="1:8" hidden="1">
      <c r="A52" s="93">
        <f t="shared" si="5"/>
        <v>0</v>
      </c>
      <c r="B52" s="94">
        <f t="shared" si="6"/>
        <v>0</v>
      </c>
      <c r="C52" s="94">
        <f t="shared" si="8"/>
        <v>0</v>
      </c>
      <c r="D52" s="94">
        <f t="shared" si="9"/>
        <v>0</v>
      </c>
      <c r="E52" s="94">
        <f t="shared" si="10"/>
        <v>0</v>
      </c>
      <c r="F52" s="94">
        <f t="shared" si="11"/>
        <v>0</v>
      </c>
      <c r="G52" s="94">
        <f t="shared" si="12"/>
        <v>0</v>
      </c>
      <c r="H52" s="94">
        <f t="shared" si="13"/>
        <v>0</v>
      </c>
    </row>
    <row r="53" spans="1:8" hidden="1">
      <c r="A53" s="93">
        <f t="shared" si="5"/>
        <v>0</v>
      </c>
      <c r="B53" s="94">
        <f t="shared" si="6"/>
        <v>0</v>
      </c>
      <c r="C53" s="94">
        <f t="shared" si="8"/>
        <v>0</v>
      </c>
      <c r="D53" s="94">
        <f t="shared" si="9"/>
        <v>0</v>
      </c>
      <c r="E53" s="94">
        <f t="shared" si="10"/>
        <v>0</v>
      </c>
      <c r="F53" s="94">
        <f t="shared" si="11"/>
        <v>0</v>
      </c>
      <c r="G53" s="94">
        <f t="shared" si="12"/>
        <v>0</v>
      </c>
      <c r="H53" s="94">
        <f t="shared" si="13"/>
        <v>0</v>
      </c>
    </row>
    <row r="54" spans="1:8" hidden="1">
      <c r="A54" s="93" t="str">
        <f t="shared" si="5"/>
        <v>Maize</v>
      </c>
      <c r="B54" s="94">
        <f t="shared" si="6"/>
        <v>0</v>
      </c>
      <c r="C54" s="94">
        <f t="shared" si="8"/>
        <v>0</v>
      </c>
      <c r="D54" s="94">
        <f t="shared" si="9"/>
        <v>0</v>
      </c>
      <c r="E54" s="94">
        <f t="shared" si="10"/>
        <v>0</v>
      </c>
      <c r="F54" s="94">
        <f t="shared" si="11"/>
        <v>0</v>
      </c>
      <c r="G54" s="94">
        <f t="shared" si="12"/>
        <v>0</v>
      </c>
      <c r="H54" s="94">
        <f t="shared" si="13"/>
        <v>0</v>
      </c>
    </row>
    <row r="55" spans="1:8" hidden="1">
      <c r="A55" s="93">
        <f t="shared" si="5"/>
        <v>0</v>
      </c>
      <c r="B55" s="94">
        <f t="shared" si="6"/>
        <v>0</v>
      </c>
      <c r="C55" s="94">
        <f t="shared" si="8"/>
        <v>0</v>
      </c>
      <c r="D55" s="94">
        <f t="shared" si="9"/>
        <v>0</v>
      </c>
      <c r="E55" s="94">
        <f t="shared" si="10"/>
        <v>0</v>
      </c>
      <c r="F55" s="94">
        <f t="shared" si="11"/>
        <v>0</v>
      </c>
      <c r="G55" s="94">
        <f t="shared" si="12"/>
        <v>0</v>
      </c>
      <c r="H55" s="94">
        <f t="shared" si="13"/>
        <v>0</v>
      </c>
    </row>
    <row r="56" spans="1:8">
      <c r="A56" s="93"/>
      <c r="B56" s="93"/>
      <c r="C56" s="93"/>
      <c r="D56" s="93"/>
      <c r="E56" s="93"/>
      <c r="F56" s="93"/>
      <c r="G56" s="93"/>
      <c r="H56" s="93"/>
    </row>
    <row r="57" spans="1:8">
      <c r="A57" s="95" t="s">
        <v>274</v>
      </c>
      <c r="B57" s="93"/>
      <c r="C57" s="93"/>
      <c r="D57" s="93"/>
      <c r="E57" s="93"/>
      <c r="F57" s="93"/>
      <c r="G57" s="93"/>
      <c r="H57" s="93"/>
    </row>
    <row r="58" spans="1:8">
      <c r="A58" s="93" t="str">
        <f>A37</f>
        <v>Soybean</v>
      </c>
      <c r="B58" s="93"/>
      <c r="C58" s="93"/>
      <c r="D58" s="93"/>
      <c r="E58" s="93"/>
      <c r="F58" s="93"/>
      <c r="G58" s="93"/>
      <c r="H58" s="93"/>
    </row>
    <row r="59" spans="1:8" hidden="1">
      <c r="A59" s="93"/>
      <c r="B59" s="93"/>
      <c r="C59" s="93"/>
      <c r="D59" s="93"/>
      <c r="E59" s="93"/>
      <c r="F59" s="93"/>
      <c r="G59" s="93"/>
      <c r="H59" s="93"/>
    </row>
    <row r="60" spans="1:8" hidden="1">
      <c r="A60" s="93"/>
      <c r="B60" s="93"/>
      <c r="C60" s="93"/>
      <c r="D60" s="93"/>
      <c r="E60" s="93"/>
      <c r="F60" s="93"/>
      <c r="G60" s="93"/>
      <c r="H60" s="93"/>
    </row>
    <row r="61" spans="1:8" hidden="1">
      <c r="A61" s="93"/>
      <c r="B61" s="93"/>
      <c r="C61" s="93"/>
      <c r="D61" s="93"/>
      <c r="E61" s="93"/>
      <c r="F61" s="93"/>
      <c r="G61" s="93"/>
      <c r="H61" s="93"/>
    </row>
    <row r="62" spans="1:8" hidden="1">
      <c r="A62" s="93" t="str">
        <f>A38</f>
        <v>Red Gram/Tur</v>
      </c>
      <c r="B62" s="189"/>
      <c r="C62" s="189"/>
      <c r="D62" s="189"/>
      <c r="E62" s="189"/>
      <c r="F62" s="189"/>
      <c r="G62" s="189"/>
      <c r="H62" s="189"/>
    </row>
    <row r="63" spans="1:8" hidden="1">
      <c r="A63" s="93" t="s">
        <v>423</v>
      </c>
      <c r="B63" s="189">
        <f>B38*80%</f>
        <v>0</v>
      </c>
      <c r="C63" s="189">
        <f t="shared" ref="C63:H63" si="14">C38*80%</f>
        <v>0</v>
      </c>
      <c r="D63" s="189">
        <f t="shared" si="14"/>
        <v>0</v>
      </c>
      <c r="E63" s="189">
        <f t="shared" si="14"/>
        <v>0</v>
      </c>
      <c r="F63" s="189">
        <f t="shared" si="14"/>
        <v>0</v>
      </c>
      <c r="G63" s="189">
        <f t="shared" si="14"/>
        <v>0</v>
      </c>
      <c r="H63" s="189">
        <f t="shared" si="14"/>
        <v>0</v>
      </c>
    </row>
    <row r="64" spans="1:8" hidden="1">
      <c r="A64" s="93" t="s">
        <v>140</v>
      </c>
      <c r="B64" s="189">
        <f>B38*20%</f>
        <v>0</v>
      </c>
      <c r="C64" s="189">
        <f t="shared" ref="C64:H64" si="15">C38*20%</f>
        <v>0</v>
      </c>
      <c r="D64" s="189">
        <f t="shared" si="15"/>
        <v>0</v>
      </c>
      <c r="E64" s="189">
        <f t="shared" si="15"/>
        <v>0</v>
      </c>
      <c r="F64" s="189">
        <f t="shared" si="15"/>
        <v>0</v>
      </c>
      <c r="G64" s="189">
        <f t="shared" si="15"/>
        <v>0</v>
      </c>
      <c r="H64" s="189">
        <f t="shared" si="15"/>
        <v>0</v>
      </c>
    </row>
    <row r="65" spans="1:8" hidden="1">
      <c r="A65" s="93" t="str">
        <f>A39</f>
        <v>Paddy/Rice</v>
      </c>
      <c r="B65" s="94"/>
      <c r="C65" s="94"/>
      <c r="D65" s="94"/>
      <c r="E65" s="94"/>
      <c r="F65" s="94"/>
      <c r="G65" s="94"/>
      <c r="H65" s="94"/>
    </row>
    <row r="66" spans="1:8" hidden="1">
      <c r="A66" s="93"/>
      <c r="B66" s="94"/>
      <c r="C66" s="94"/>
      <c r="D66" s="94"/>
      <c r="E66" s="94"/>
      <c r="F66" s="94"/>
      <c r="G66" s="94"/>
      <c r="H66" s="94"/>
    </row>
    <row r="67" spans="1:8" hidden="1">
      <c r="A67" s="93"/>
      <c r="B67" s="94"/>
      <c r="C67" s="94"/>
      <c r="D67" s="94"/>
      <c r="E67" s="94"/>
      <c r="F67" s="94"/>
      <c r="G67" s="94"/>
      <c r="H67" s="94"/>
    </row>
    <row r="68" spans="1:8" hidden="1">
      <c r="A68" s="93"/>
      <c r="B68" s="94"/>
      <c r="C68" s="94"/>
      <c r="D68" s="94"/>
      <c r="E68" s="94"/>
      <c r="F68" s="94"/>
      <c r="G68" s="94"/>
      <c r="H68" s="94"/>
    </row>
    <row r="69" spans="1:8" hidden="1">
      <c r="A69" s="93" t="str">
        <f>A40</f>
        <v>Green Gram/ Moong</v>
      </c>
      <c r="B69" s="94"/>
      <c r="C69" s="94"/>
      <c r="D69" s="94"/>
      <c r="E69" s="94"/>
      <c r="F69" s="94"/>
      <c r="G69" s="94"/>
      <c r="H69" s="94"/>
    </row>
    <row r="70" spans="1:8" hidden="1">
      <c r="A70" s="93" t="s">
        <v>423</v>
      </c>
      <c r="B70" s="94">
        <f>B40*80%</f>
        <v>0</v>
      </c>
      <c r="C70" s="94">
        <f t="shared" ref="C70:H70" si="16">C40*80%</f>
        <v>0</v>
      </c>
      <c r="D70" s="94">
        <f t="shared" si="16"/>
        <v>0</v>
      </c>
      <c r="E70" s="94">
        <f t="shared" si="16"/>
        <v>0</v>
      </c>
      <c r="F70" s="94">
        <f t="shared" si="16"/>
        <v>0</v>
      </c>
      <c r="G70" s="94">
        <f t="shared" si="16"/>
        <v>0</v>
      </c>
      <c r="H70" s="94">
        <f t="shared" si="16"/>
        <v>0</v>
      </c>
    </row>
    <row r="71" spans="1:8" hidden="1">
      <c r="A71" s="93" t="s">
        <v>140</v>
      </c>
      <c r="B71" s="94">
        <f>B40*20%</f>
        <v>0</v>
      </c>
      <c r="C71" s="94">
        <f t="shared" ref="C71:H71" si="17">C40*20%</f>
        <v>0</v>
      </c>
      <c r="D71" s="94">
        <f t="shared" si="17"/>
        <v>0</v>
      </c>
      <c r="E71" s="94">
        <f t="shared" si="17"/>
        <v>0</v>
      </c>
      <c r="F71" s="94">
        <f t="shared" si="17"/>
        <v>0</v>
      </c>
      <c r="G71" s="94">
        <f t="shared" si="17"/>
        <v>0</v>
      </c>
      <c r="H71" s="94">
        <f t="shared" si="17"/>
        <v>0</v>
      </c>
    </row>
    <row r="72" spans="1:8" hidden="1">
      <c r="A72" s="93" t="str">
        <f>A41</f>
        <v>Maize</v>
      </c>
      <c r="B72" s="94"/>
      <c r="C72" s="94"/>
      <c r="D72" s="94"/>
      <c r="E72" s="94"/>
      <c r="F72" s="94"/>
      <c r="G72" s="94"/>
      <c r="H72" s="94"/>
    </row>
    <row r="73" spans="1:8" hidden="1">
      <c r="A73" s="93"/>
      <c r="B73" s="94"/>
      <c r="C73" s="94"/>
      <c r="D73" s="94"/>
      <c r="E73" s="94"/>
      <c r="F73" s="94"/>
      <c r="G73" s="94"/>
      <c r="H73" s="94"/>
    </row>
    <row r="74" spans="1:8" hidden="1">
      <c r="A74" s="93"/>
      <c r="B74" s="94"/>
      <c r="C74" s="94"/>
      <c r="D74" s="94"/>
      <c r="E74" s="94"/>
      <c r="F74" s="94"/>
      <c r="G74" s="94"/>
      <c r="H74" s="94"/>
    </row>
    <row r="75" spans="1:8" hidden="1">
      <c r="A75" s="93"/>
      <c r="B75" s="94"/>
      <c r="C75" s="94"/>
      <c r="D75" s="94"/>
      <c r="E75" s="94"/>
      <c r="F75" s="94"/>
      <c r="G75" s="94"/>
      <c r="H75" s="94"/>
    </row>
    <row r="76" spans="1:8" hidden="1">
      <c r="A76" s="93"/>
      <c r="B76" s="94"/>
      <c r="C76" s="94"/>
      <c r="D76" s="94"/>
      <c r="E76" s="94"/>
      <c r="F76" s="94"/>
      <c r="G76" s="94"/>
      <c r="H76" s="94"/>
    </row>
    <row r="77" spans="1:8" hidden="1">
      <c r="A77" s="93" t="str">
        <f>A42</f>
        <v>Black Gram/Udid</v>
      </c>
      <c r="B77" s="94"/>
      <c r="C77" s="94"/>
      <c r="D77" s="94"/>
      <c r="E77" s="94"/>
      <c r="F77" s="94"/>
      <c r="G77" s="94"/>
      <c r="H77" s="94"/>
    </row>
    <row r="78" spans="1:8" hidden="1">
      <c r="A78" s="93" t="s">
        <v>423</v>
      </c>
      <c r="B78" s="94">
        <f t="shared" ref="B78:H78" si="18">B42*80%</f>
        <v>0</v>
      </c>
      <c r="C78" s="94">
        <f t="shared" si="18"/>
        <v>0</v>
      </c>
      <c r="D78" s="94">
        <f t="shared" si="18"/>
        <v>0</v>
      </c>
      <c r="E78" s="94">
        <f t="shared" si="18"/>
        <v>0</v>
      </c>
      <c r="F78" s="94">
        <f t="shared" si="18"/>
        <v>0</v>
      </c>
      <c r="G78" s="94">
        <f t="shared" si="18"/>
        <v>0</v>
      </c>
      <c r="H78" s="94">
        <f t="shared" si="18"/>
        <v>0</v>
      </c>
    </row>
    <row r="79" spans="1:8" hidden="1">
      <c r="A79" s="93" t="s">
        <v>140</v>
      </c>
      <c r="B79" s="94">
        <f t="shared" ref="B79:H79" si="19">B42*20%</f>
        <v>0</v>
      </c>
      <c r="C79" s="94">
        <f t="shared" si="19"/>
        <v>0</v>
      </c>
      <c r="D79" s="94">
        <f t="shared" si="19"/>
        <v>0</v>
      </c>
      <c r="E79" s="94">
        <f t="shared" si="19"/>
        <v>0</v>
      </c>
      <c r="F79" s="94">
        <f t="shared" si="19"/>
        <v>0</v>
      </c>
      <c r="G79" s="94">
        <f t="shared" si="19"/>
        <v>0</v>
      </c>
      <c r="H79" s="94">
        <f t="shared" si="19"/>
        <v>0</v>
      </c>
    </row>
    <row r="80" spans="1:8" hidden="1">
      <c r="A80" s="93" t="str">
        <f>A43</f>
        <v>Bajra</v>
      </c>
      <c r="B80" s="94"/>
      <c r="C80" s="94"/>
      <c r="D80" s="94"/>
      <c r="E80" s="94"/>
      <c r="F80" s="94"/>
      <c r="G80" s="94"/>
      <c r="H80" s="94"/>
    </row>
    <row r="81" spans="1:9" hidden="1">
      <c r="A81" s="93"/>
      <c r="B81" s="94"/>
      <c r="C81" s="94"/>
      <c r="D81" s="94"/>
      <c r="E81" s="94"/>
      <c r="F81" s="94"/>
      <c r="G81" s="94"/>
      <c r="H81" s="94"/>
    </row>
    <row r="82" spans="1:9" hidden="1">
      <c r="A82" s="93"/>
      <c r="B82" s="94"/>
      <c r="C82" s="94"/>
      <c r="D82" s="94"/>
      <c r="E82" s="94"/>
      <c r="F82" s="94"/>
      <c r="G82" s="94"/>
      <c r="H82" s="94"/>
    </row>
    <row r="83" spans="1:9">
      <c r="A83" s="93" t="str">
        <f>A44</f>
        <v>Jawar</v>
      </c>
      <c r="B83" s="94"/>
      <c r="C83" s="94"/>
      <c r="D83" s="94"/>
      <c r="E83" s="94"/>
      <c r="F83" s="94"/>
      <c r="G83" s="94"/>
      <c r="H83" s="94"/>
    </row>
    <row r="84" spans="1:9">
      <c r="A84" s="93" t="s">
        <v>662</v>
      </c>
      <c r="B84" s="382">
        <f>B48*30%*90%</f>
        <v>765.47429999999997</v>
      </c>
      <c r="C84" s="382">
        <f t="shared" ref="C84:H84" si="20">C48*30%*90%</f>
        <v>816.50591999999995</v>
      </c>
      <c r="D84" s="382">
        <f t="shared" si="20"/>
        <v>867.53753999999992</v>
      </c>
      <c r="E84" s="382">
        <f t="shared" si="20"/>
        <v>918.5691599999999</v>
      </c>
      <c r="F84" s="382">
        <f t="shared" si="20"/>
        <v>969.60077999999987</v>
      </c>
      <c r="G84" s="382">
        <f t="shared" si="20"/>
        <v>1020.6323999999998</v>
      </c>
      <c r="H84" s="382">
        <f t="shared" si="20"/>
        <v>1071.6640199999999</v>
      </c>
      <c r="I84" s="28"/>
    </row>
    <row r="85" spans="1:9">
      <c r="A85" s="93" t="s">
        <v>666</v>
      </c>
      <c r="B85" s="382">
        <f>B48*30%*10%</f>
        <v>85.052700000000002</v>
      </c>
      <c r="C85" s="382">
        <f t="shared" ref="C85:H85" si="21">C48*30%*10%</f>
        <v>90.722880000000004</v>
      </c>
      <c r="D85" s="382">
        <f t="shared" si="21"/>
        <v>96.393059999999991</v>
      </c>
      <c r="E85" s="382">
        <f t="shared" si="21"/>
        <v>102.06323999999999</v>
      </c>
      <c r="F85" s="382">
        <f t="shared" si="21"/>
        <v>107.73341999999998</v>
      </c>
      <c r="G85" s="382">
        <f t="shared" si="21"/>
        <v>113.40359999999998</v>
      </c>
      <c r="H85" s="382">
        <f t="shared" si="21"/>
        <v>119.07378</v>
      </c>
      <c r="I85" s="28"/>
    </row>
    <row r="86" spans="1:9">
      <c r="A86" s="93" t="s">
        <v>656</v>
      </c>
      <c r="B86" s="382">
        <f>B48*70%*95%</f>
        <v>1885.3348499999995</v>
      </c>
      <c r="C86" s="382">
        <f t="shared" ref="C86:H86" si="22">C48*70%*95%</f>
        <v>2011.0238399999996</v>
      </c>
      <c r="D86" s="382">
        <f t="shared" si="22"/>
        <v>2136.7128299999995</v>
      </c>
      <c r="E86" s="382">
        <f t="shared" si="22"/>
        <v>2262.4018199999996</v>
      </c>
      <c r="F86" s="382">
        <f t="shared" si="22"/>
        <v>2388.0908099999992</v>
      </c>
      <c r="G86" s="382">
        <f t="shared" si="22"/>
        <v>2513.7797999999998</v>
      </c>
      <c r="H86" s="382">
        <f t="shared" si="22"/>
        <v>2639.4687899999999</v>
      </c>
      <c r="I86" s="28"/>
    </row>
    <row r="87" spans="1:9">
      <c r="A87" t="s">
        <v>640</v>
      </c>
      <c r="B87" s="382">
        <f>B48*70%*0.03</f>
        <v>59.536889999999985</v>
      </c>
      <c r="C87" s="382">
        <f t="shared" ref="C87:H87" si="23">C48*70%*0.03</f>
        <v>63.506015999999988</v>
      </c>
      <c r="D87" s="382">
        <f t="shared" si="23"/>
        <v>67.475141999999991</v>
      </c>
      <c r="E87" s="382">
        <f t="shared" si="23"/>
        <v>71.444267999999994</v>
      </c>
      <c r="F87" s="382">
        <f t="shared" si="23"/>
        <v>75.413393999999982</v>
      </c>
      <c r="G87" s="382">
        <f t="shared" si="23"/>
        <v>79.382519999999985</v>
      </c>
      <c r="H87" s="382">
        <f t="shared" si="23"/>
        <v>83.351645999999988</v>
      </c>
      <c r="I87" s="386"/>
    </row>
    <row r="88" spans="1:9">
      <c r="A88" s="93" t="s">
        <v>641</v>
      </c>
      <c r="B88" s="382">
        <f>B48*70%*2%</f>
        <v>39.691259999999993</v>
      </c>
      <c r="C88" s="382">
        <f t="shared" ref="C88:H88" si="24">C48*70%*2%</f>
        <v>42.337343999999995</v>
      </c>
      <c r="D88" s="382">
        <f t="shared" si="24"/>
        <v>44.983427999999996</v>
      </c>
      <c r="E88" s="382">
        <f t="shared" si="24"/>
        <v>47.629511999999998</v>
      </c>
      <c r="F88" s="382">
        <f t="shared" si="24"/>
        <v>50.275595999999986</v>
      </c>
      <c r="G88" s="382">
        <f t="shared" si="24"/>
        <v>52.921679999999995</v>
      </c>
      <c r="H88" s="382">
        <f t="shared" si="24"/>
        <v>55.567763999999997</v>
      </c>
    </row>
    <row r="89" spans="1:9">
      <c r="A89" s="93"/>
      <c r="B89" s="382"/>
      <c r="C89" s="382"/>
      <c r="D89" s="382"/>
      <c r="E89" s="382"/>
      <c r="F89" s="382"/>
      <c r="G89" s="382"/>
      <c r="H89" s="382"/>
    </row>
    <row r="90" spans="1:9" hidden="1">
      <c r="A90" s="93"/>
      <c r="B90" s="94"/>
      <c r="C90" s="94"/>
      <c r="D90" s="94"/>
      <c r="E90" s="94"/>
      <c r="F90" s="94"/>
      <c r="G90" s="94"/>
      <c r="H90" s="94"/>
    </row>
    <row r="91" spans="1:9" hidden="1">
      <c r="A91" s="93" t="str">
        <f>A46</f>
        <v>Wheat</v>
      </c>
      <c r="B91" s="94"/>
      <c r="C91" s="94"/>
      <c r="D91" s="94"/>
      <c r="E91" s="94"/>
      <c r="F91" s="94"/>
      <c r="G91" s="94"/>
      <c r="H91" s="94"/>
    </row>
    <row r="92" spans="1:9" hidden="1">
      <c r="A92" s="93"/>
      <c r="B92" s="94"/>
      <c r="C92" s="94"/>
      <c r="D92" s="94"/>
      <c r="E92" s="94"/>
      <c r="F92" s="94"/>
      <c r="G92" s="94"/>
      <c r="H92" s="94"/>
    </row>
    <row r="93" spans="1:9" hidden="1">
      <c r="A93" s="93"/>
      <c r="B93" s="94"/>
      <c r="C93" s="94"/>
      <c r="D93" s="94"/>
      <c r="E93" s="94"/>
      <c r="F93" s="94"/>
      <c r="G93" s="94"/>
      <c r="H93" s="94"/>
    </row>
    <row r="94" spans="1:9" hidden="1">
      <c r="A94" s="93" t="str">
        <f>A47</f>
        <v>Bengal Gram/Channa</v>
      </c>
      <c r="B94" s="94"/>
      <c r="C94" s="94"/>
      <c r="D94" s="94"/>
      <c r="E94" s="94"/>
      <c r="F94" s="94"/>
      <c r="G94" s="94"/>
      <c r="H94" s="94"/>
    </row>
    <row r="95" spans="1:9" hidden="1">
      <c r="A95" s="93" t="s">
        <v>423</v>
      </c>
      <c r="B95" s="94">
        <f t="shared" ref="B95:H95" si="25">B47*80%</f>
        <v>0</v>
      </c>
      <c r="C95" s="94">
        <f t="shared" si="25"/>
        <v>0</v>
      </c>
      <c r="D95" s="94">
        <f t="shared" si="25"/>
        <v>0</v>
      </c>
      <c r="E95" s="94">
        <f t="shared" si="25"/>
        <v>0</v>
      </c>
      <c r="F95" s="94">
        <f t="shared" si="25"/>
        <v>0</v>
      </c>
      <c r="G95" s="94">
        <f t="shared" si="25"/>
        <v>0</v>
      </c>
      <c r="H95" s="94">
        <f t="shared" si="25"/>
        <v>0</v>
      </c>
    </row>
    <row r="96" spans="1:9" hidden="1">
      <c r="A96" s="93" t="s">
        <v>140</v>
      </c>
      <c r="B96" s="94">
        <f t="shared" ref="B96:H96" si="26">B47*20%</f>
        <v>0</v>
      </c>
      <c r="C96" s="94">
        <f t="shared" si="26"/>
        <v>0</v>
      </c>
      <c r="D96" s="94">
        <f t="shared" si="26"/>
        <v>0</v>
      </c>
      <c r="E96" s="94">
        <f t="shared" si="26"/>
        <v>0</v>
      </c>
      <c r="F96" s="94">
        <f t="shared" si="26"/>
        <v>0</v>
      </c>
      <c r="G96" s="94">
        <f t="shared" si="26"/>
        <v>0</v>
      </c>
      <c r="H96" s="94">
        <f t="shared" si="26"/>
        <v>0</v>
      </c>
    </row>
    <row r="97" spans="1:8" hidden="1">
      <c r="A97" s="93"/>
      <c r="B97" s="94"/>
      <c r="C97" s="94"/>
      <c r="D97" s="94"/>
      <c r="E97" s="94"/>
      <c r="F97" s="94"/>
      <c r="G97" s="94"/>
      <c r="H97" s="94"/>
    </row>
    <row r="98" spans="1:8" hidden="1">
      <c r="A98" s="93" t="str">
        <f>A48</f>
        <v>Jawar</v>
      </c>
      <c r="B98" s="94"/>
      <c r="C98" s="94"/>
      <c r="D98" s="94"/>
      <c r="E98" s="94"/>
      <c r="F98" s="94"/>
      <c r="G98" s="94"/>
      <c r="H98" s="94"/>
    </row>
    <row r="99" spans="1:8" hidden="1">
      <c r="A99" t="s">
        <v>639</v>
      </c>
      <c r="B99" s="377">
        <f>B48*50%*95%*0</f>
        <v>0</v>
      </c>
      <c r="C99" s="377">
        <f t="shared" ref="C99:H99" si="27">C48*50%*95%*0</f>
        <v>0</v>
      </c>
      <c r="D99" s="377">
        <f t="shared" si="27"/>
        <v>0</v>
      </c>
      <c r="E99" s="377">
        <f t="shared" si="27"/>
        <v>0</v>
      </c>
      <c r="F99" s="377">
        <f t="shared" si="27"/>
        <v>0</v>
      </c>
      <c r="G99" s="377">
        <f t="shared" si="27"/>
        <v>0</v>
      </c>
      <c r="H99" s="377">
        <f t="shared" si="27"/>
        <v>0</v>
      </c>
    </row>
    <row r="100" spans="1:8" hidden="1">
      <c r="B100" s="94">
        <f>B48*50%*0.03*0</f>
        <v>0</v>
      </c>
      <c r="C100" s="94">
        <f t="shared" ref="C100:H100" si="28">C48*50%*0.03*0</f>
        <v>0</v>
      </c>
      <c r="D100" s="94">
        <f t="shared" si="28"/>
        <v>0</v>
      </c>
      <c r="E100" s="94">
        <f t="shared" si="28"/>
        <v>0</v>
      </c>
      <c r="F100" s="94">
        <f t="shared" si="28"/>
        <v>0</v>
      </c>
      <c r="G100" s="94">
        <f t="shared" si="28"/>
        <v>0</v>
      </c>
      <c r="H100" s="94">
        <f t="shared" si="28"/>
        <v>0</v>
      </c>
    </row>
    <row r="101" spans="1:8" hidden="1">
      <c r="B101" s="94">
        <f>B48*50%*0.02*0</f>
        <v>0</v>
      </c>
      <c r="C101" s="94">
        <f t="shared" ref="C101:H101" si="29">C48*50%*0.02*0</f>
        <v>0</v>
      </c>
      <c r="D101" s="94">
        <f t="shared" si="29"/>
        <v>0</v>
      </c>
      <c r="E101" s="94">
        <f t="shared" si="29"/>
        <v>0</v>
      </c>
      <c r="F101" s="94">
        <f t="shared" si="29"/>
        <v>0</v>
      </c>
      <c r="G101" s="94">
        <f t="shared" si="29"/>
        <v>0</v>
      </c>
      <c r="H101" s="94">
        <f t="shared" si="29"/>
        <v>0</v>
      </c>
    </row>
    <row r="102" spans="1:8" hidden="1">
      <c r="A102" s="93"/>
      <c r="B102" s="94"/>
      <c r="C102" s="94"/>
      <c r="D102" s="94"/>
      <c r="E102" s="94"/>
      <c r="F102" s="94"/>
      <c r="G102" s="94"/>
      <c r="H102" s="94"/>
    </row>
    <row r="103" spans="1:8" hidden="1">
      <c r="A103" s="93" t="str">
        <f>A49</f>
        <v>Maize</v>
      </c>
      <c r="B103" s="94"/>
      <c r="C103" s="94"/>
      <c r="D103" s="94"/>
      <c r="E103" s="94"/>
      <c r="F103" s="94"/>
      <c r="G103" s="94"/>
      <c r="H103" s="94"/>
    </row>
    <row r="104" spans="1:8" hidden="1">
      <c r="A104" s="93" t="s">
        <v>636</v>
      </c>
      <c r="B104" s="94">
        <f>(B49+B41)*0.95</f>
        <v>0</v>
      </c>
      <c r="C104" s="94">
        <f t="shared" ref="C104:H104" si="30">(C49+C41)*0.95</f>
        <v>0</v>
      </c>
      <c r="D104" s="94">
        <f t="shared" si="30"/>
        <v>0</v>
      </c>
      <c r="E104" s="94">
        <f t="shared" si="30"/>
        <v>0</v>
      </c>
      <c r="F104" s="94">
        <f t="shared" si="30"/>
        <v>0</v>
      </c>
      <c r="G104" s="94">
        <f t="shared" si="30"/>
        <v>0</v>
      </c>
      <c r="H104" s="94">
        <f t="shared" si="30"/>
        <v>0</v>
      </c>
    </row>
    <row r="105" spans="1:8" hidden="1">
      <c r="A105" s="93" t="s">
        <v>637</v>
      </c>
      <c r="B105" s="94">
        <f>(B49+B41)*0.03</f>
        <v>0</v>
      </c>
      <c r="C105" s="94">
        <f t="shared" ref="C105:H105" si="31">(C49+C41)*0.03</f>
        <v>0</v>
      </c>
      <c r="D105" s="94">
        <f t="shared" si="31"/>
        <v>0</v>
      </c>
      <c r="E105" s="94">
        <f t="shared" si="31"/>
        <v>0</v>
      </c>
      <c r="F105" s="94">
        <f t="shared" si="31"/>
        <v>0</v>
      </c>
      <c r="G105" s="94">
        <f t="shared" si="31"/>
        <v>0</v>
      </c>
      <c r="H105" s="94">
        <f t="shared" si="31"/>
        <v>0</v>
      </c>
    </row>
    <row r="106" spans="1:8" hidden="1">
      <c r="A106" s="93" t="s">
        <v>638</v>
      </c>
      <c r="B106" s="94">
        <f>(B49+B41)*0.02</f>
        <v>0</v>
      </c>
      <c r="C106" s="94">
        <f t="shared" ref="C106:H106" si="32">(C49+C41)*0.02</f>
        <v>0</v>
      </c>
      <c r="D106" s="94">
        <f t="shared" si="32"/>
        <v>0</v>
      </c>
      <c r="E106" s="94">
        <f t="shared" si="32"/>
        <v>0</v>
      </c>
      <c r="F106" s="94">
        <f t="shared" si="32"/>
        <v>0</v>
      </c>
      <c r="G106" s="94">
        <f t="shared" si="32"/>
        <v>0</v>
      </c>
      <c r="H106" s="94">
        <f t="shared" si="32"/>
        <v>0</v>
      </c>
    </row>
    <row r="107" spans="1:8" hidden="1">
      <c r="A107" s="93"/>
      <c r="B107" s="94"/>
      <c r="C107" s="94"/>
      <c r="D107" s="94"/>
      <c r="E107" s="94"/>
      <c r="F107" s="94"/>
      <c r="G107" s="94"/>
      <c r="H107" s="94"/>
    </row>
    <row r="108" spans="1:8" hidden="1">
      <c r="A108" s="93" t="str">
        <f>A50</f>
        <v>Safflower</v>
      </c>
      <c r="B108" s="94"/>
      <c r="C108" s="94"/>
      <c r="D108" s="94"/>
      <c r="E108" s="94"/>
      <c r="F108" s="94"/>
      <c r="G108" s="94"/>
      <c r="H108" s="94"/>
    </row>
    <row r="109" spans="1:8" hidden="1">
      <c r="A109" s="93"/>
      <c r="B109" s="94"/>
      <c r="C109" s="94"/>
      <c r="D109" s="94"/>
      <c r="E109" s="94"/>
      <c r="F109" s="94"/>
      <c r="G109" s="94"/>
      <c r="H109" s="94"/>
    </row>
    <row r="110" spans="1:8" hidden="1">
      <c r="A110" s="93"/>
      <c r="B110" s="94"/>
      <c r="C110" s="94"/>
      <c r="D110" s="94"/>
      <c r="E110" s="94"/>
      <c r="F110" s="94"/>
      <c r="G110" s="94"/>
      <c r="H110" s="94"/>
    </row>
    <row r="111" spans="1:8" hidden="1">
      <c r="A111" s="93">
        <f>A51</f>
        <v>0</v>
      </c>
      <c r="B111" s="94"/>
      <c r="C111" s="94"/>
      <c r="D111" s="94"/>
      <c r="E111" s="94"/>
      <c r="F111" s="94"/>
      <c r="G111" s="94"/>
      <c r="H111" s="94"/>
    </row>
    <row r="112" spans="1:8" hidden="1">
      <c r="A112" s="93"/>
      <c r="B112" s="94"/>
      <c r="C112" s="94"/>
      <c r="D112" s="94"/>
      <c r="E112" s="94"/>
      <c r="F112" s="94"/>
      <c r="G112" s="94"/>
      <c r="H112" s="94"/>
    </row>
    <row r="113" spans="1:8" hidden="1">
      <c r="A113" s="93"/>
      <c r="B113" s="94"/>
      <c r="C113" s="94"/>
      <c r="D113" s="94"/>
      <c r="E113" s="94"/>
      <c r="F113" s="94"/>
      <c r="G113" s="94"/>
      <c r="H113" s="94"/>
    </row>
    <row r="114" spans="1:8" hidden="1">
      <c r="A114" s="93">
        <f>A52</f>
        <v>0</v>
      </c>
      <c r="B114" s="94"/>
      <c r="C114" s="94"/>
      <c r="D114" s="94"/>
      <c r="E114" s="94"/>
      <c r="F114" s="94"/>
      <c r="G114" s="94"/>
      <c r="H114" s="94"/>
    </row>
    <row r="115" spans="1:8" hidden="1">
      <c r="A115" s="93"/>
      <c r="B115" s="94"/>
      <c r="C115" s="94"/>
      <c r="D115" s="94"/>
      <c r="E115" s="94"/>
      <c r="F115" s="94"/>
      <c r="G115" s="94"/>
      <c r="H115" s="94"/>
    </row>
    <row r="116" spans="1:8" hidden="1">
      <c r="A116" s="93"/>
      <c r="B116" s="94"/>
      <c r="C116" s="94"/>
      <c r="D116" s="94"/>
      <c r="E116" s="94"/>
      <c r="F116" s="94"/>
      <c r="G116" s="94"/>
      <c r="H116" s="94"/>
    </row>
    <row r="117" spans="1:8" hidden="1">
      <c r="A117" s="93">
        <f>A53</f>
        <v>0</v>
      </c>
      <c r="B117" s="94"/>
      <c r="C117" s="94"/>
      <c r="D117" s="94"/>
      <c r="E117" s="94"/>
      <c r="F117" s="94"/>
      <c r="G117" s="94"/>
      <c r="H117" s="94"/>
    </row>
    <row r="118" spans="1:8" hidden="1">
      <c r="A118" s="93"/>
      <c r="B118" s="94"/>
      <c r="C118" s="94"/>
      <c r="D118" s="94"/>
      <c r="E118" s="94"/>
      <c r="F118" s="94"/>
      <c r="G118" s="94"/>
      <c r="H118" s="94"/>
    </row>
    <row r="119" spans="1:8" hidden="1">
      <c r="A119" s="93"/>
      <c r="B119" s="94"/>
      <c r="C119" s="94"/>
      <c r="D119" s="94"/>
      <c r="E119" s="94"/>
      <c r="F119" s="94"/>
      <c r="G119" s="94"/>
      <c r="H119" s="94"/>
    </row>
    <row r="120" spans="1:8" hidden="1">
      <c r="A120" s="93" t="str">
        <f>A54</f>
        <v>Maize</v>
      </c>
      <c r="B120" s="94"/>
      <c r="C120" s="94"/>
      <c r="D120" s="94"/>
      <c r="E120" s="94"/>
      <c r="F120" s="94"/>
      <c r="G120" s="94"/>
      <c r="H120" s="94"/>
    </row>
    <row r="121" spans="1:8" hidden="1">
      <c r="A121" s="93"/>
      <c r="B121" s="94"/>
      <c r="C121" s="94"/>
      <c r="D121" s="94"/>
      <c r="E121" s="94"/>
      <c r="F121" s="94"/>
      <c r="G121" s="94"/>
      <c r="H121" s="94"/>
    </row>
    <row r="122" spans="1:8" hidden="1">
      <c r="A122" s="93"/>
      <c r="B122" s="94"/>
      <c r="C122" s="94"/>
      <c r="D122" s="94"/>
      <c r="E122" s="94"/>
      <c r="F122" s="94"/>
      <c r="G122" s="94"/>
      <c r="H122" s="94"/>
    </row>
    <row r="123" spans="1:8" hidden="1">
      <c r="A123" s="93">
        <f>A55</f>
        <v>0</v>
      </c>
      <c r="B123" s="94"/>
      <c r="C123" s="94"/>
      <c r="D123" s="94"/>
      <c r="E123" s="94"/>
      <c r="F123" s="94"/>
      <c r="G123" s="94"/>
      <c r="H123" s="94"/>
    </row>
    <row r="124" spans="1:8" hidden="1">
      <c r="A124" s="93"/>
      <c r="B124" s="94"/>
      <c r="C124" s="94"/>
      <c r="D124" s="94"/>
      <c r="E124" s="94"/>
      <c r="F124" s="94"/>
      <c r="G124" s="94"/>
      <c r="H124" s="94"/>
    </row>
    <row r="125" spans="1:8" hidden="1">
      <c r="A125" s="93"/>
      <c r="B125" s="94"/>
      <c r="C125" s="94"/>
      <c r="D125" s="94"/>
      <c r="E125" s="94"/>
      <c r="F125" s="94"/>
      <c r="G125" s="94"/>
      <c r="H125" s="94"/>
    </row>
    <row r="126" spans="1:8">
      <c r="A126" s="93">
        <f>A56</f>
        <v>0</v>
      </c>
      <c r="B126" s="94"/>
      <c r="C126" s="94"/>
      <c r="D126" s="94"/>
      <c r="E126" s="94"/>
      <c r="F126" s="94"/>
      <c r="G126" s="94"/>
      <c r="H126" s="94"/>
    </row>
    <row r="127" spans="1:8">
      <c r="A127" s="184"/>
      <c r="B127" s="295"/>
      <c r="C127" s="295"/>
      <c r="D127" s="295"/>
      <c r="E127" s="295"/>
      <c r="F127" s="295"/>
      <c r="G127" s="295"/>
      <c r="H127" s="295"/>
    </row>
    <row r="128" spans="1:8">
      <c r="A128" s="184"/>
      <c r="B128" s="295"/>
      <c r="C128" s="295"/>
      <c r="D128" s="295"/>
      <c r="E128" s="295"/>
      <c r="F128" s="295"/>
      <c r="G128" s="295"/>
      <c r="H128" s="295"/>
    </row>
    <row r="129" spans="1:10">
      <c r="A129" s="185" t="s">
        <v>409</v>
      </c>
      <c r="B129">
        <v>1</v>
      </c>
    </row>
    <row r="136" spans="1:10" ht="18.75">
      <c r="A136" s="419" t="s">
        <v>675</v>
      </c>
      <c r="B136" s="419"/>
      <c r="C136" s="419"/>
      <c r="D136" s="419"/>
      <c r="E136" s="419"/>
      <c r="F136" s="419"/>
      <c r="G136" s="419"/>
      <c r="H136" s="419"/>
      <c r="I136" s="419"/>
      <c r="J136" s="419"/>
    </row>
    <row r="137" spans="1:10">
      <c r="A137" s="58"/>
      <c r="B137" s="60"/>
      <c r="C137" s="60"/>
      <c r="D137" s="58"/>
      <c r="E137" s="58"/>
      <c r="F137" s="58"/>
      <c r="G137" s="58"/>
      <c r="H137" s="58"/>
    </row>
    <row r="138" spans="1:10">
      <c r="A138" s="190"/>
      <c r="B138" s="190"/>
      <c r="C138" s="190"/>
      <c r="D138" s="191">
        <v>1</v>
      </c>
      <c r="E138" s="192">
        <f>(D138*5%)+D138</f>
        <v>1.05</v>
      </c>
      <c r="F138" s="192">
        <f t="shared" ref="F138:J138" si="33">(E138*5%)+E138</f>
        <v>1.1025</v>
      </c>
      <c r="G138" s="192">
        <f t="shared" si="33"/>
        <v>1.1576250000000001</v>
      </c>
      <c r="H138" s="192">
        <f t="shared" si="33"/>
        <v>1.2155062500000002</v>
      </c>
      <c r="I138" s="192">
        <f t="shared" si="33"/>
        <v>1.2762815625000004</v>
      </c>
      <c r="J138" s="192">
        <f t="shared" si="33"/>
        <v>1.3400956406250004</v>
      </c>
    </row>
    <row r="139" spans="1:10">
      <c r="A139" s="92"/>
      <c r="B139" s="92"/>
      <c r="C139" s="92"/>
      <c r="D139" s="92"/>
      <c r="E139" s="92"/>
      <c r="F139" s="92"/>
      <c r="G139" s="92"/>
      <c r="H139" s="92"/>
      <c r="I139" s="92"/>
      <c r="J139" s="92"/>
    </row>
    <row r="140" spans="1:10">
      <c r="A140" s="146" t="s">
        <v>0</v>
      </c>
      <c r="B140" s="146" t="s">
        <v>132</v>
      </c>
      <c r="C140" s="146" t="s">
        <v>151</v>
      </c>
      <c r="D140" s="118" t="s">
        <v>2</v>
      </c>
      <c r="E140" s="118" t="s">
        <v>3</v>
      </c>
      <c r="F140" s="118" t="s">
        <v>4</v>
      </c>
      <c r="G140" s="118" t="s">
        <v>5</v>
      </c>
      <c r="H140" s="118" t="s">
        <v>6</v>
      </c>
      <c r="I140" s="118" t="s">
        <v>168</v>
      </c>
      <c r="J140" s="118" t="s">
        <v>167</v>
      </c>
    </row>
    <row r="141" spans="1:10">
      <c r="A141" s="93"/>
      <c r="B141" s="93"/>
      <c r="C141" s="93"/>
      <c r="D141" s="93"/>
      <c r="E141" s="93"/>
      <c r="F141" s="93"/>
      <c r="G141" s="93"/>
      <c r="H141" s="93"/>
      <c r="I141" s="93"/>
      <c r="J141" s="93"/>
    </row>
    <row r="142" spans="1:10">
      <c r="A142" s="95" t="s">
        <v>126</v>
      </c>
      <c r="B142" s="95"/>
      <c r="C142" s="95"/>
      <c r="D142" s="112"/>
      <c r="E142" s="112"/>
      <c r="F142" s="112"/>
      <c r="G142" s="112"/>
      <c r="H142" s="112"/>
      <c r="I142" s="93"/>
      <c r="J142" s="93"/>
    </row>
    <row r="143" spans="1:10">
      <c r="A143" s="95" t="s">
        <v>297</v>
      </c>
      <c r="B143" s="95"/>
      <c r="C143" s="95"/>
      <c r="D143" s="93"/>
      <c r="E143" s="93"/>
      <c r="F143" s="93"/>
      <c r="G143" s="93"/>
      <c r="H143" s="93"/>
      <c r="I143" s="93"/>
      <c r="J143" s="93"/>
    </row>
    <row r="144" spans="1:10">
      <c r="A144" s="93" t="s">
        <v>653</v>
      </c>
      <c r="B144" s="226">
        <v>1</v>
      </c>
      <c r="C144" s="226">
        <v>37</v>
      </c>
      <c r="D144" s="94">
        <f>(((B84*100)*(1-'5.Closing Stock &amp; W Capital'!$D$14))/$B$129)*$C$144*D138</f>
        <v>2690642.1644999995</v>
      </c>
      <c r="E144" s="94">
        <f>(((C84*100)*(1-'5.Closing Stock &amp; W Capital'!$D$14))/$B$129)*$C$144*E138</f>
        <v>3013519.2242399994</v>
      </c>
      <c r="F144" s="94">
        <f>(((D84*100)*(1-'5.Closing Stock &amp; W Capital'!$D$14))/$B$129)*$C$144*F138</f>
        <v>3361957.3845427493</v>
      </c>
      <c r="G144" s="94">
        <f>(((E84*100)*(1-'5.Closing Stock &amp; W Capital'!$D$14))/$B$129)*$C$144*G138</f>
        <v>3737705.562815174</v>
      </c>
      <c r="H144" s="94">
        <f>(((F84*100)*(1-'5.Closing Stock &amp; W Capital'!$D$14))/$B$129)*$C$144*H138</f>
        <v>4142623.6654534852</v>
      </c>
      <c r="I144" s="94">
        <f>(((G84*100)*(1-'5.Closing Stock &amp; W Capital'!$D$14))/$B$129)*$C$144*I138</f>
        <v>4578689.3144485895</v>
      </c>
      <c r="J144" s="94">
        <f>(((H84*100)*(1-'5.Closing Stock &amp; W Capital'!$D$14))/$B$129)*$C$144*J138</f>
        <v>5048004.9691795707</v>
      </c>
    </row>
    <row r="145" spans="1:11">
      <c r="A145" s="93" t="s">
        <v>642</v>
      </c>
      <c r="B145" s="226">
        <v>1</v>
      </c>
      <c r="C145" s="226">
        <v>34</v>
      </c>
      <c r="D145" s="94">
        <f>(((B86*100)*(1-'5.Closing Stock &amp; W Capital'!$D$14))/B129)*$C$145*D138</f>
        <v>6089631.5654999986</v>
      </c>
      <c r="E145" s="94">
        <f>(((C86*100)*(1-'5.Closing Stock &amp; W Capital'!$D$14))/B129)*$C$145*E138</f>
        <v>6820387.3533599982</v>
      </c>
      <c r="F145" s="94">
        <f>(((D86*100)*(1-'5.Closing Stock &amp; W Capital'!$D$14))/B129)*$C$145*F138</f>
        <v>7608994.6410922473</v>
      </c>
      <c r="G145" s="94">
        <f>(((E86*100)*(1-'5.Closing Stock &amp; W Capital'!$D$14))/B129)*$C$145*G138</f>
        <v>8459411.6892143246</v>
      </c>
      <c r="H145" s="94">
        <f>(((F86*100)*(1-'5.Closing Stock &amp; W Capital'!$D$14))/B129)*$C$145*H138</f>
        <v>9375847.9555458762</v>
      </c>
      <c r="I145" s="94">
        <f>(((G86*100)*(1-'5.Closing Stock &amp; W Capital'!$D$14))/B129)*$C$145*I138</f>
        <v>10362779.31928755</v>
      </c>
      <c r="J145" s="94">
        <f>(((H86*100)*(1-'5.Closing Stock &amp; W Capital'!$D$14))/B129)*$C$145*J138</f>
        <v>11424964.199514525</v>
      </c>
    </row>
    <row r="146" spans="1:11">
      <c r="A146" s="93" t="s">
        <v>298</v>
      </c>
      <c r="B146" s="226"/>
      <c r="C146" s="226">
        <v>0</v>
      </c>
      <c r="D146" s="94">
        <f>(((B78*100)*(1-'5.Closing Stock &amp; W Capital'!D14))/$B$129)*$C$146*D138</f>
        <v>0</v>
      </c>
      <c r="E146" s="94">
        <f>((((C78*100)*(1-'5.Closing Stock &amp; W Capital'!$D$14))+((B78*100)*'5.Closing Stock &amp; W Capital'!$D$14))/$B$129)*$C$146*E138</f>
        <v>0</v>
      </c>
      <c r="F146" s="94">
        <f>((((D78*100)*(1-'5.Closing Stock &amp; W Capital'!$D$14))+((C78*100)*'5.Closing Stock &amp; W Capital'!$D$14))/$B$129)*$C$146*F138</f>
        <v>0</v>
      </c>
      <c r="G146" s="94">
        <f>((((E78*100)*(1-'5.Closing Stock &amp; W Capital'!$D$14))+((D78*100)*'5.Closing Stock &amp; W Capital'!$D$14))/$B$129)*$C$146*G138</f>
        <v>0</v>
      </c>
      <c r="H146" s="94">
        <f>((((F78*100)*(1-'5.Closing Stock &amp; W Capital'!$D$14))+((E78*100)*'5.Closing Stock &amp; W Capital'!$D$14))/$B$129)*$C$146*H138</f>
        <v>0</v>
      </c>
      <c r="I146" s="94">
        <f>((((G78*100)*(1-'5.Closing Stock &amp; W Capital'!$D$14))+((F78*100)*'5.Closing Stock &amp; W Capital'!$D$14))/$B$129)*$C$146*I138</f>
        <v>0</v>
      </c>
      <c r="J146" s="94">
        <f>((((H78*100)*(1-'5.Closing Stock &amp; W Capital'!$D$14))+((G78*100)*'5.Closing Stock &amp; W Capital'!$D$14))/$B$129)*$C$146*J138</f>
        <v>0</v>
      </c>
    </row>
    <row r="147" spans="1:11">
      <c r="A147" s="93" t="s">
        <v>296</v>
      </c>
      <c r="B147" s="226"/>
      <c r="C147" s="226">
        <v>0</v>
      </c>
      <c r="D147" s="94">
        <f>(((B70*100)*(1-'5.Closing Stock &amp; W Capital'!D14))/B129)*$C$147*D138</f>
        <v>0</v>
      </c>
      <c r="E147" s="94">
        <f>((((C70*100)*(1-'5.Closing Stock &amp; W Capital'!$D$14))+((B70*100)*'5.Closing Stock &amp; W Capital'!$D$14))/$B$129)*$C$147*E138</f>
        <v>0</v>
      </c>
      <c r="F147" s="94">
        <f>((((D70*100)*(1-'5.Closing Stock &amp; W Capital'!$D$14))+((C70*100)*'5.Closing Stock &amp; W Capital'!$D$14))/$B$129)*$C$147*F138</f>
        <v>0</v>
      </c>
      <c r="G147" s="94">
        <f>((((E70*100)*(1-'5.Closing Stock &amp; W Capital'!$D$14))+((D70*100)*'5.Closing Stock &amp; W Capital'!$D$14))/$B$129)*$C$147*G138</f>
        <v>0</v>
      </c>
      <c r="H147" s="94">
        <f>((((F70*100)*(1-'5.Closing Stock &amp; W Capital'!$D$14))+((E70*100)*'5.Closing Stock &amp; W Capital'!$D$14))/$B$129)*$C$147*H138</f>
        <v>0</v>
      </c>
      <c r="I147" s="94">
        <f>((((G70*100)*(1-'5.Closing Stock &amp; W Capital'!$D$14))+((F70*100)*'5.Closing Stock &amp; W Capital'!$D$14))/$B$129)*$C$147*I138</f>
        <v>0</v>
      </c>
      <c r="J147" s="94">
        <f>((((H70*100)*(1-'5.Closing Stock &amp; W Capital'!$D$14))+((G70*100)*'5.Closing Stock &amp; W Capital'!$D$14))/$B$129)*$C$147*J138</f>
        <v>0</v>
      </c>
    </row>
    <row r="148" spans="1:11">
      <c r="A148" s="93"/>
      <c r="B148" s="93"/>
      <c r="C148" s="93"/>
      <c r="D148" s="94"/>
      <c r="E148" s="94"/>
      <c r="F148" s="94"/>
      <c r="G148" s="94"/>
      <c r="H148" s="94"/>
      <c r="I148" s="94"/>
      <c r="J148" s="94"/>
    </row>
    <row r="149" spans="1:11">
      <c r="A149" s="95" t="s">
        <v>643</v>
      </c>
      <c r="B149" s="231" t="s">
        <v>339</v>
      </c>
      <c r="C149" s="231">
        <v>0</v>
      </c>
      <c r="D149" s="94">
        <f>((B63+B100+B105+B70)*100)*$C$149*D138</f>
        <v>0</v>
      </c>
      <c r="E149" s="94">
        <f t="shared" ref="E149:J149" si="34">((C63+C100+C105+C70)*100)*$C$149*E138</f>
        <v>0</v>
      </c>
      <c r="F149" s="94">
        <f t="shared" si="34"/>
        <v>0</v>
      </c>
      <c r="G149" s="94">
        <f t="shared" si="34"/>
        <v>0</v>
      </c>
      <c r="H149" s="94">
        <f t="shared" si="34"/>
        <v>0</v>
      </c>
      <c r="I149" s="94">
        <f t="shared" si="34"/>
        <v>0</v>
      </c>
      <c r="J149" s="94">
        <f t="shared" si="34"/>
        <v>0</v>
      </c>
    </row>
    <row r="150" spans="1:11">
      <c r="A150" s="93"/>
      <c r="B150" s="226"/>
      <c r="C150" s="226"/>
      <c r="D150" s="94"/>
      <c r="E150" s="94"/>
      <c r="F150" s="94"/>
      <c r="G150" s="94"/>
      <c r="H150" s="94"/>
      <c r="I150" s="94"/>
      <c r="J150" s="94"/>
      <c r="K150" s="61">
        <f>[2]Output!T58*70*K138</f>
        <v>0</v>
      </c>
    </row>
    <row r="151" spans="1:11">
      <c r="A151" s="95" t="s">
        <v>279</v>
      </c>
      <c r="B151" s="231" t="s">
        <v>339</v>
      </c>
      <c r="C151" s="226">
        <v>2</v>
      </c>
      <c r="D151" s="94"/>
      <c r="E151" s="94">
        <f t="shared" ref="E151:J151" si="35">(C35*100)*$C$151*E138</f>
        <v>0</v>
      </c>
      <c r="F151" s="94">
        <f t="shared" si="35"/>
        <v>0</v>
      </c>
      <c r="G151" s="94">
        <f t="shared" si="35"/>
        <v>0</v>
      </c>
      <c r="H151" s="94">
        <f t="shared" si="35"/>
        <v>0</v>
      </c>
      <c r="I151" s="94">
        <f t="shared" si="35"/>
        <v>0</v>
      </c>
      <c r="J151" s="94">
        <f t="shared" si="35"/>
        <v>0</v>
      </c>
    </row>
    <row r="152" spans="1:11">
      <c r="A152" s="93"/>
      <c r="B152" s="93"/>
      <c r="C152" s="93"/>
      <c r="D152" s="94"/>
      <c r="E152" s="94"/>
      <c r="F152" s="94"/>
      <c r="G152" s="94"/>
      <c r="H152" s="94"/>
      <c r="I152" s="94"/>
      <c r="J152" s="94"/>
    </row>
    <row r="153" spans="1:11">
      <c r="A153" s="95" t="s">
        <v>126</v>
      </c>
      <c r="B153" s="95"/>
      <c r="C153" s="95"/>
      <c r="D153" s="113">
        <f t="shared" ref="D153:J153" si="36">SUM(D144:D151)</f>
        <v>8780273.7299999986</v>
      </c>
      <c r="E153" s="113">
        <f t="shared" si="36"/>
        <v>9833906.5775999986</v>
      </c>
      <c r="F153" s="113">
        <f t="shared" si="36"/>
        <v>10970952.025634997</v>
      </c>
      <c r="G153" s="113">
        <f t="shared" si="36"/>
        <v>12197117.252029499</v>
      </c>
      <c r="H153" s="113">
        <f t="shared" si="36"/>
        <v>13518471.620999362</v>
      </c>
      <c r="I153" s="113">
        <f t="shared" si="36"/>
        <v>14941468.633736139</v>
      </c>
      <c r="J153" s="113">
        <f t="shared" si="36"/>
        <v>16472969.168694096</v>
      </c>
    </row>
    <row r="154" spans="1:11">
      <c r="A154" s="93"/>
      <c r="B154" s="93"/>
      <c r="C154" s="93"/>
      <c r="D154" s="94"/>
      <c r="E154" s="94"/>
      <c r="F154" s="94"/>
      <c r="G154" s="94"/>
      <c r="H154" s="94"/>
      <c r="I154" s="94"/>
      <c r="J154" s="94"/>
    </row>
    <row r="155" spans="1:11">
      <c r="A155" s="95" t="s">
        <v>141</v>
      </c>
      <c r="B155" s="95"/>
      <c r="C155" s="95"/>
      <c r="D155" s="94"/>
      <c r="E155" s="94"/>
      <c r="F155" s="94"/>
      <c r="G155" s="94"/>
      <c r="H155" s="94"/>
      <c r="I155" s="94"/>
      <c r="J155" s="94"/>
    </row>
    <row r="156" spans="1:11">
      <c r="A156" s="95" t="s">
        <v>292</v>
      </c>
      <c r="B156" s="95"/>
      <c r="C156" s="93"/>
      <c r="D156" s="94"/>
      <c r="E156" s="94"/>
      <c r="F156" s="94"/>
      <c r="G156" s="94"/>
      <c r="H156" s="94"/>
      <c r="I156" s="94"/>
      <c r="J156" s="94"/>
    </row>
    <row r="157" spans="1:11">
      <c r="A157" s="97" t="s">
        <v>644</v>
      </c>
      <c r="B157" s="226" t="s">
        <v>340</v>
      </c>
      <c r="C157" s="250">
        <v>0</v>
      </c>
      <c r="D157" s="94">
        <f>(B41+B49)*$C$157*D138</f>
        <v>0</v>
      </c>
      <c r="E157" s="94">
        <f t="shared" ref="E157:J157" si="37">(C41+C49)*$C$157*E138</f>
        <v>0</v>
      </c>
      <c r="F157" s="94">
        <f t="shared" si="37"/>
        <v>0</v>
      </c>
      <c r="G157" s="94">
        <f t="shared" si="37"/>
        <v>0</v>
      </c>
      <c r="H157" s="94">
        <f t="shared" si="37"/>
        <v>0</v>
      </c>
      <c r="I157" s="94">
        <f t="shared" si="37"/>
        <v>0</v>
      </c>
      <c r="J157" s="94">
        <f t="shared" si="37"/>
        <v>0</v>
      </c>
    </row>
    <row r="158" spans="1:11">
      <c r="A158" s="93" t="s">
        <v>383</v>
      </c>
      <c r="B158" s="226" t="s">
        <v>340</v>
      </c>
      <c r="C158" s="250">
        <v>2750</v>
      </c>
      <c r="D158" s="94">
        <f>(B48)*$C$158*D138</f>
        <v>7796497.4999999991</v>
      </c>
      <c r="E158" s="94">
        <f t="shared" ref="E158:J158" si="38">(C48)*$C$158*E138</f>
        <v>8732077.2000000011</v>
      </c>
      <c r="F158" s="94">
        <f t="shared" si="38"/>
        <v>9741723.6262500007</v>
      </c>
      <c r="G158" s="94">
        <f t="shared" si="38"/>
        <v>10830504.502125001</v>
      </c>
      <c r="H158" s="94">
        <f t="shared" si="38"/>
        <v>12003809.156521875</v>
      </c>
      <c r="I158" s="94">
        <f t="shared" si="38"/>
        <v>13267368.015103128</v>
      </c>
      <c r="J158" s="94">
        <f t="shared" si="38"/>
        <v>14627273.236651199</v>
      </c>
      <c r="K158" s="65"/>
    </row>
    <row r="159" spans="1:11">
      <c r="A159" s="93" t="s">
        <v>299</v>
      </c>
      <c r="B159" s="226" t="s">
        <v>340</v>
      </c>
      <c r="C159" s="250">
        <v>0</v>
      </c>
      <c r="D159" s="94">
        <f t="shared" ref="D159:J159" si="39">(B42)*$C$159*D138</f>
        <v>0</v>
      </c>
      <c r="E159" s="94">
        <f t="shared" si="39"/>
        <v>0</v>
      </c>
      <c r="F159" s="94">
        <f t="shared" si="39"/>
        <v>0</v>
      </c>
      <c r="G159" s="94">
        <f t="shared" si="39"/>
        <v>0</v>
      </c>
      <c r="H159" s="94">
        <f t="shared" si="39"/>
        <v>0</v>
      </c>
      <c r="I159" s="94">
        <f t="shared" si="39"/>
        <v>0</v>
      </c>
      <c r="J159" s="94">
        <f t="shared" si="39"/>
        <v>0</v>
      </c>
    </row>
    <row r="160" spans="1:11">
      <c r="A160" s="93" t="s">
        <v>296</v>
      </c>
      <c r="B160" s="226" t="s">
        <v>340</v>
      </c>
      <c r="C160" s="250">
        <v>0</v>
      </c>
      <c r="D160" s="94">
        <f t="shared" ref="D160:J160" si="40">(B40)*$C$160*D138</f>
        <v>0</v>
      </c>
      <c r="E160" s="94">
        <f t="shared" si="40"/>
        <v>0</v>
      </c>
      <c r="F160" s="94">
        <f t="shared" si="40"/>
        <v>0</v>
      </c>
      <c r="G160" s="94">
        <f t="shared" si="40"/>
        <v>0</v>
      </c>
      <c r="H160" s="94">
        <f t="shared" si="40"/>
        <v>0</v>
      </c>
      <c r="I160" s="94">
        <f t="shared" si="40"/>
        <v>0</v>
      </c>
      <c r="J160" s="94">
        <f t="shared" si="40"/>
        <v>0</v>
      </c>
    </row>
    <row r="161" spans="1:14">
      <c r="A161" s="93" t="s">
        <v>341</v>
      </c>
      <c r="B161" s="226">
        <v>0.01</v>
      </c>
      <c r="C161" s="226">
        <v>150</v>
      </c>
      <c r="D161" s="94">
        <f>(B32/10)*$B$161*$C$161*D138</f>
        <v>425.26349999999996</v>
      </c>
      <c r="E161" s="94">
        <f t="shared" ref="E161:J161" si="41">(C32/10)*$B$161*$C$161*E138</f>
        <v>476.29512000000005</v>
      </c>
      <c r="F161" s="94">
        <f t="shared" si="41"/>
        <v>531.36674325000001</v>
      </c>
      <c r="G161" s="94">
        <f t="shared" si="41"/>
        <v>590.75479102500003</v>
      </c>
      <c r="H161" s="94">
        <f t="shared" si="41"/>
        <v>654.75322671937511</v>
      </c>
      <c r="I161" s="94">
        <f t="shared" si="41"/>
        <v>723.67461900562523</v>
      </c>
      <c r="J161" s="94">
        <f t="shared" si="41"/>
        <v>797.85126745370189</v>
      </c>
    </row>
    <row r="162" spans="1:14">
      <c r="A162" s="93" t="s">
        <v>300</v>
      </c>
      <c r="B162" s="226">
        <v>3</v>
      </c>
      <c r="C162" s="372">
        <v>300</v>
      </c>
      <c r="D162" s="94">
        <f t="shared" ref="D162:J162" si="42">B12*$B$162*$C$162*D138</f>
        <v>182255.78571428568</v>
      </c>
      <c r="E162" s="94">
        <f t="shared" si="42"/>
        <v>204126.48</v>
      </c>
      <c r="F162" s="94">
        <f t="shared" si="42"/>
        <v>227728.60425</v>
      </c>
      <c r="G162" s="94">
        <f t="shared" si="42"/>
        <v>253180.62472500003</v>
      </c>
      <c r="H162" s="94">
        <f t="shared" si="42"/>
        <v>280608.52573687502</v>
      </c>
      <c r="I162" s="94">
        <f t="shared" si="42"/>
        <v>310146.26528812508</v>
      </c>
      <c r="J162" s="94">
        <f t="shared" si="42"/>
        <v>341936.25748015783</v>
      </c>
    </row>
    <row r="163" spans="1:14">
      <c r="A163" s="93" t="s">
        <v>143</v>
      </c>
      <c r="B163" s="93">
        <f>'2.Capex Details'!H47*0.746*8/2</f>
        <v>73.108000000000004</v>
      </c>
      <c r="C163" s="226">
        <v>8</v>
      </c>
      <c r="D163" s="94">
        <f>$B$163*$C$163*B12*D138</f>
        <v>118438.71984000001</v>
      </c>
      <c r="E163" s="94">
        <f t="shared" ref="E163:J163" si="43">$B$163*$C$163*C12*E138</f>
        <v>132651.36622080003</v>
      </c>
      <c r="F163" s="94">
        <f t="shared" si="43"/>
        <v>147989.18044008</v>
      </c>
      <c r="G163" s="94">
        <f t="shared" si="43"/>
        <v>164529.14766573603</v>
      </c>
      <c r="H163" s="94">
        <f t="shared" si="43"/>
        <v>182353.13866285744</v>
      </c>
      <c r="I163" s="94">
        <f t="shared" si="43"/>
        <v>201548.20589052667</v>
      </c>
      <c r="J163" s="94">
        <f t="shared" si="43"/>
        <v>222206.89699430563</v>
      </c>
    </row>
    <row r="164" spans="1:14">
      <c r="A164" s="93" t="s">
        <v>280</v>
      </c>
      <c r="B164" s="93"/>
      <c r="C164" s="226">
        <v>0</v>
      </c>
      <c r="D164" s="94">
        <f>((B35*100)/50)*$C$164*D138</f>
        <v>0</v>
      </c>
      <c r="E164" s="94">
        <f t="shared" ref="E164:J164" si="44">((C35*100)/50)*$C$164*E138</f>
        <v>0</v>
      </c>
      <c r="F164" s="94">
        <f t="shared" si="44"/>
        <v>0</v>
      </c>
      <c r="G164" s="94">
        <f t="shared" si="44"/>
        <v>0</v>
      </c>
      <c r="H164" s="94">
        <f t="shared" si="44"/>
        <v>0</v>
      </c>
      <c r="I164" s="94">
        <f t="shared" si="44"/>
        <v>0</v>
      </c>
      <c r="J164" s="94">
        <f t="shared" si="44"/>
        <v>0</v>
      </c>
    </row>
    <row r="165" spans="1:14">
      <c r="A165" s="107" t="s">
        <v>281</v>
      </c>
      <c r="B165" s="107"/>
      <c r="C165" s="251">
        <v>25</v>
      </c>
      <c r="D165" s="94">
        <f>(((B84+B86)*100)/50)*$C$165*D138</f>
        <v>132540.45749999999</v>
      </c>
      <c r="E165" s="94">
        <f t="shared" ref="E165:J165" si="45">(((C84+C86)*100)/50)*$C$165*E138</f>
        <v>148445.3124</v>
      </c>
      <c r="F165" s="94">
        <f t="shared" si="45"/>
        <v>165609.30164624998</v>
      </c>
      <c r="G165" s="94">
        <f t="shared" si="45"/>
        <v>184118.57653612498</v>
      </c>
      <c r="H165" s="94">
        <f t="shared" si="45"/>
        <v>204064.75566087186</v>
      </c>
      <c r="I165" s="94">
        <f t="shared" si="45"/>
        <v>225545.25625675317</v>
      </c>
      <c r="J165" s="94">
        <f t="shared" si="45"/>
        <v>248663.64502307042</v>
      </c>
      <c r="N165" s="28">
        <f>D165/25</f>
        <v>5301.6182999999992</v>
      </c>
    </row>
    <row r="166" spans="1:14">
      <c r="A166" s="93" t="s">
        <v>282</v>
      </c>
      <c r="B166" s="93"/>
      <c r="C166" s="226">
        <v>10</v>
      </c>
      <c r="D166" s="94">
        <f>(((B84+B86)*100)/50)*$C$166*D138</f>
        <v>53016.18299999999</v>
      </c>
      <c r="E166" s="94">
        <f t="shared" ref="E166:J166" si="46">(((C84+C86)*100)/50)*$C$166*E138</f>
        <v>59378.124959999994</v>
      </c>
      <c r="F166" s="94">
        <f t="shared" si="46"/>
        <v>66243.720658499995</v>
      </c>
      <c r="G166" s="94">
        <f t="shared" si="46"/>
        <v>73647.430614450001</v>
      </c>
      <c r="H166" s="94">
        <f t="shared" si="46"/>
        <v>81625.902264348741</v>
      </c>
      <c r="I166" s="94">
        <f t="shared" si="46"/>
        <v>90218.102502701266</v>
      </c>
      <c r="J166" s="94">
        <f t="shared" si="46"/>
        <v>99465.458009228154</v>
      </c>
    </row>
    <row r="167" spans="1:14">
      <c r="A167" s="10"/>
      <c r="B167" s="10"/>
      <c r="C167" s="10"/>
      <c r="D167" s="10"/>
      <c r="E167" s="10"/>
      <c r="F167" s="10"/>
      <c r="G167" s="10"/>
      <c r="H167" s="10"/>
      <c r="I167" s="10"/>
      <c r="J167" s="10"/>
    </row>
    <row r="168" spans="1:14">
      <c r="A168" s="10"/>
      <c r="B168" s="10"/>
      <c r="C168" s="10"/>
      <c r="D168" s="10"/>
      <c r="E168" s="10"/>
      <c r="F168" s="10"/>
      <c r="G168" s="10"/>
      <c r="H168" s="10"/>
      <c r="I168" s="10"/>
      <c r="J168" s="10"/>
    </row>
    <row r="169" spans="1:14">
      <c r="A169" s="10"/>
      <c r="B169" s="10"/>
      <c r="C169" s="10"/>
      <c r="D169" s="10"/>
      <c r="E169" s="10"/>
      <c r="F169" s="10"/>
      <c r="G169" s="10"/>
      <c r="H169" s="10"/>
      <c r="I169" s="10"/>
      <c r="J169" s="10"/>
    </row>
    <row r="170" spans="1:14">
      <c r="A170" s="10"/>
      <c r="B170" s="10"/>
      <c r="C170" s="10"/>
      <c r="D170" s="10"/>
      <c r="E170" s="10"/>
      <c r="F170" s="10"/>
      <c r="G170" s="10"/>
      <c r="H170" s="10"/>
      <c r="I170" s="10"/>
      <c r="J170" s="10"/>
    </row>
    <row r="171" spans="1:14">
      <c r="A171" s="193" t="s">
        <v>320</v>
      </c>
      <c r="B171" s="94"/>
      <c r="C171" s="94"/>
      <c r="D171" s="94"/>
      <c r="E171" s="94">
        <f>'5.Closing Stock &amp; W Capital'!F7</f>
        <v>411507.88632771425</v>
      </c>
      <c r="F171" s="94">
        <f>'5.Closing Stock &amp; W Capital'!G7</f>
        <v>460888.83268704015</v>
      </c>
      <c r="G171" s="94">
        <f>'5.Closing Stock &amp; W Capital'!H7</f>
        <v>514179.10396647902</v>
      </c>
      <c r="H171" s="94">
        <f>'5.Closing Stock &amp; W Capital'!I7</f>
        <v>571646.1802921443</v>
      </c>
      <c r="I171" s="94">
        <f>'5.Closing Stock &amp; W Capital'!J7</f>
        <v>633574.51649046002</v>
      </c>
      <c r="J171" s="94">
        <f>'5.Closing Stock &amp; W Capital'!K7</f>
        <v>700266.57085787703</v>
      </c>
    </row>
    <row r="172" spans="1:14">
      <c r="A172" s="193" t="s">
        <v>321</v>
      </c>
      <c r="B172" s="94"/>
      <c r="C172" s="94"/>
      <c r="D172" s="94">
        <f>'5.Closing Stock &amp; W Capital'!E14</f>
        <v>411507.88632771425</v>
      </c>
      <c r="E172" s="94">
        <f>'5.Closing Stock &amp; W Capital'!F14</f>
        <v>460888.83268704015</v>
      </c>
      <c r="F172" s="94">
        <f>'5.Closing Stock &amp; W Capital'!G14</f>
        <v>514179.10396647902</v>
      </c>
      <c r="G172" s="94">
        <f>'5.Closing Stock &amp; W Capital'!H14</f>
        <v>571646.1802921443</v>
      </c>
      <c r="H172" s="94">
        <f>'5.Closing Stock &amp; W Capital'!I14</f>
        <v>633574.51649046002</v>
      </c>
      <c r="I172" s="94">
        <f>'5.Closing Stock &amp; W Capital'!J14</f>
        <v>700266.57085787703</v>
      </c>
      <c r="J172" s="94">
        <f>'5.Closing Stock &amp; W Capital'!K14</f>
        <v>772043.89437080931</v>
      </c>
    </row>
    <row r="173" spans="1:14">
      <c r="A173" s="94"/>
      <c r="B173" s="94"/>
      <c r="C173" s="94"/>
      <c r="D173" s="94"/>
      <c r="E173" s="94"/>
      <c r="F173" s="94"/>
      <c r="G173" s="94"/>
      <c r="H173" s="94"/>
      <c r="I173" s="94"/>
      <c r="J173" s="94"/>
    </row>
    <row r="174" spans="1:14">
      <c r="A174" s="113" t="s">
        <v>301</v>
      </c>
      <c r="B174" s="94"/>
      <c r="C174" s="94"/>
      <c r="D174" s="113">
        <f>SUM(D157:D171)-D172</f>
        <v>7871666.0232265703</v>
      </c>
      <c r="E174" s="113">
        <f>SUM(E157:E171)-E172</f>
        <v>9227773.8323414754</v>
      </c>
      <c r="F174" s="113">
        <f t="shared" ref="F174:J174" si="47">SUM(F157:F171)-F172</f>
        <v>10296535.528708642</v>
      </c>
      <c r="G174" s="113">
        <f t="shared" si="47"/>
        <v>11449103.960131669</v>
      </c>
      <c r="H174" s="113">
        <f t="shared" si="47"/>
        <v>12691187.895875234</v>
      </c>
      <c r="I174" s="113">
        <f t="shared" si="47"/>
        <v>14028857.465292824</v>
      </c>
      <c r="J174" s="113">
        <f t="shared" si="47"/>
        <v>15468566.021912482</v>
      </c>
    </row>
    <row r="175" spans="1:14">
      <c r="A175" s="92"/>
      <c r="B175" s="92"/>
      <c r="C175" s="92"/>
      <c r="D175" s="92"/>
      <c r="E175" s="92"/>
      <c r="F175" s="92"/>
      <c r="G175" s="92"/>
      <c r="H175" s="92"/>
      <c r="I175" s="92"/>
      <c r="J175" s="92"/>
    </row>
    <row r="176" spans="1:14">
      <c r="A176" s="194" t="s">
        <v>291</v>
      </c>
      <c r="B176" s="194"/>
      <c r="C176" s="194"/>
      <c r="D176" s="113"/>
      <c r="E176" s="113"/>
      <c r="F176" s="113"/>
      <c r="G176" s="113"/>
      <c r="H176" s="113"/>
      <c r="I176" s="113"/>
      <c r="J176" s="113"/>
    </row>
    <row r="177" spans="1:10">
      <c r="A177" s="93" t="s">
        <v>176</v>
      </c>
      <c r="B177" s="226">
        <v>1</v>
      </c>
      <c r="C177" s="250">
        <v>8000</v>
      </c>
      <c r="D177" s="94">
        <f t="shared" ref="D177:J177" si="48">$B$177*$C$177*12*D138</f>
        <v>96000</v>
      </c>
      <c r="E177" s="94">
        <f t="shared" si="48"/>
        <v>100800</v>
      </c>
      <c r="F177" s="94">
        <f t="shared" si="48"/>
        <v>105840</v>
      </c>
      <c r="G177" s="94">
        <f t="shared" si="48"/>
        <v>111132.00000000001</v>
      </c>
      <c r="H177" s="94">
        <f t="shared" si="48"/>
        <v>116688.60000000002</v>
      </c>
      <c r="I177" s="94">
        <f t="shared" si="48"/>
        <v>122523.03000000003</v>
      </c>
      <c r="J177" s="94">
        <f t="shared" si="48"/>
        <v>128649.18150000004</v>
      </c>
    </row>
    <row r="178" spans="1:10">
      <c r="A178" s="93" t="s">
        <v>645</v>
      </c>
      <c r="B178" s="226">
        <v>0</v>
      </c>
      <c r="C178" s="250">
        <v>10000</v>
      </c>
      <c r="D178" s="94">
        <f>$B$178*$C$178*12*D138</f>
        <v>0</v>
      </c>
      <c r="E178" s="94">
        <f t="shared" ref="E178:J178" si="49">$B$178*$C$178*12*E138</f>
        <v>0</v>
      </c>
      <c r="F178" s="94">
        <f t="shared" si="49"/>
        <v>0</v>
      </c>
      <c r="G178" s="94">
        <f t="shared" si="49"/>
        <v>0</v>
      </c>
      <c r="H178" s="94">
        <f t="shared" si="49"/>
        <v>0</v>
      </c>
      <c r="I178" s="94">
        <f t="shared" si="49"/>
        <v>0</v>
      </c>
      <c r="J178" s="94">
        <f t="shared" si="49"/>
        <v>0</v>
      </c>
    </row>
    <row r="179" spans="1:10">
      <c r="A179" s="93"/>
      <c r="B179" s="226"/>
      <c r="C179" s="250"/>
      <c r="D179" s="94"/>
      <c r="E179" s="94"/>
      <c r="F179" s="94"/>
      <c r="G179" s="94"/>
      <c r="H179" s="94"/>
      <c r="I179" s="94"/>
      <c r="J179" s="94"/>
    </row>
    <row r="180" spans="1:10">
      <c r="A180" s="93"/>
      <c r="B180" s="226"/>
      <c r="C180" s="250"/>
      <c r="D180" s="94"/>
      <c r="E180" s="94"/>
      <c r="F180" s="94"/>
      <c r="G180" s="94"/>
      <c r="H180" s="94"/>
      <c r="I180" s="94"/>
      <c r="J180" s="94"/>
    </row>
    <row r="181" spans="1:10">
      <c r="A181" s="93"/>
      <c r="B181" s="226"/>
      <c r="C181" s="250"/>
      <c r="D181" s="94"/>
      <c r="E181" s="94"/>
      <c r="F181" s="94"/>
      <c r="G181" s="94"/>
      <c r="H181" s="94"/>
      <c r="I181" s="94"/>
      <c r="J181" s="94"/>
    </row>
    <row r="182" spans="1:10">
      <c r="A182" s="95" t="s">
        <v>291</v>
      </c>
      <c r="B182" s="95"/>
      <c r="C182" s="95"/>
      <c r="D182" s="113">
        <f t="shared" ref="D182:J182" si="50">SUM(D177:D181)</f>
        <v>96000</v>
      </c>
      <c r="E182" s="113">
        <f t="shared" si="50"/>
        <v>100800</v>
      </c>
      <c r="F182" s="113">
        <f t="shared" si="50"/>
        <v>105840</v>
      </c>
      <c r="G182" s="113">
        <f t="shared" si="50"/>
        <v>111132.00000000001</v>
      </c>
      <c r="H182" s="113">
        <f t="shared" si="50"/>
        <v>116688.60000000002</v>
      </c>
      <c r="I182" s="113">
        <f t="shared" si="50"/>
        <v>122523.03000000003</v>
      </c>
      <c r="J182" s="113">
        <f t="shared" si="50"/>
        <v>128649.18150000004</v>
      </c>
    </row>
    <row r="183" spans="1:10">
      <c r="A183" s="194" t="s">
        <v>283</v>
      </c>
      <c r="B183" s="194"/>
      <c r="C183" s="194"/>
      <c r="D183" s="113">
        <f t="shared" ref="D183:J183" si="51">D174+D182</f>
        <v>7967666.0232265703</v>
      </c>
      <c r="E183" s="113">
        <f t="shared" si="51"/>
        <v>9328573.8323414754</v>
      </c>
      <c r="F183" s="113">
        <f t="shared" si="51"/>
        <v>10402375.528708642</v>
      </c>
      <c r="G183" s="113">
        <f t="shared" si="51"/>
        <v>11560235.960131669</v>
      </c>
      <c r="H183" s="113">
        <f t="shared" si="51"/>
        <v>12807876.495875234</v>
      </c>
      <c r="I183" s="113">
        <f t="shared" si="51"/>
        <v>14151380.495292824</v>
      </c>
      <c r="J183" s="113">
        <f t="shared" si="51"/>
        <v>15597215.203412483</v>
      </c>
    </row>
    <row r="184" spans="1:10">
      <c r="A184" s="93"/>
      <c r="B184" s="93"/>
      <c r="C184" s="93"/>
      <c r="D184" s="94"/>
      <c r="E184" s="94"/>
      <c r="F184" s="94"/>
      <c r="G184" s="94"/>
      <c r="H184" s="94"/>
      <c r="I184" s="94"/>
      <c r="J184" s="94"/>
    </row>
    <row r="185" spans="1:10">
      <c r="A185" s="95" t="s">
        <v>7</v>
      </c>
      <c r="B185" s="95"/>
      <c r="C185" s="95"/>
      <c r="D185" s="113">
        <f>D153-D183</f>
        <v>812607.70677342825</v>
      </c>
      <c r="E185" s="113">
        <f t="shared" ref="E185:J185" si="52">E153-E183</f>
        <v>505332.74525852315</v>
      </c>
      <c r="F185" s="113">
        <f t="shared" si="52"/>
        <v>568576.49692635424</v>
      </c>
      <c r="G185" s="113">
        <f t="shared" si="52"/>
        <v>636881.29189782962</v>
      </c>
      <c r="H185" s="113">
        <f t="shared" si="52"/>
        <v>710595.12512412854</v>
      </c>
      <c r="I185" s="113">
        <f t="shared" si="52"/>
        <v>790088.1384433154</v>
      </c>
      <c r="J185" s="113">
        <f t="shared" si="52"/>
        <v>875753.96528161317</v>
      </c>
    </row>
    <row r="186" spans="1:10">
      <c r="A186" s="114"/>
      <c r="B186" s="114"/>
      <c r="C186" s="114"/>
      <c r="D186" s="92"/>
      <c r="E186" s="92"/>
      <c r="F186" s="92"/>
      <c r="G186" s="92"/>
      <c r="H186" s="92"/>
      <c r="I186" s="92"/>
      <c r="J186" s="92"/>
    </row>
    <row r="187" spans="1:10">
      <c r="A187" s="92"/>
      <c r="B187" s="92"/>
      <c r="C187" s="92"/>
      <c r="D187" s="92"/>
      <c r="E187" s="92"/>
      <c r="F187" s="92"/>
      <c r="G187" s="92"/>
      <c r="H187" s="92"/>
      <c r="I187" s="92"/>
      <c r="J187" s="92"/>
    </row>
    <row r="188" spans="1:10">
      <c r="A188" s="92"/>
      <c r="B188" s="92"/>
      <c r="C188" s="92"/>
      <c r="D188" s="92"/>
      <c r="E188" s="92"/>
      <c r="F188" s="92"/>
      <c r="G188" s="92"/>
      <c r="H188" s="92"/>
      <c r="I188" s="92"/>
      <c r="J188" s="92"/>
    </row>
    <row r="189" spans="1:10">
      <c r="A189" s="420" t="s">
        <v>400</v>
      </c>
      <c r="B189" s="420"/>
      <c r="C189" s="420"/>
      <c r="D189" s="420"/>
      <c r="E189" s="420"/>
      <c r="F189" s="420"/>
      <c r="G189" s="420"/>
      <c r="H189" s="420"/>
      <c r="I189" s="420"/>
      <c r="J189" s="420"/>
    </row>
    <row r="191" spans="1:10">
      <c r="A191" t="s">
        <v>483</v>
      </c>
    </row>
    <row r="192" spans="1:10">
      <c r="A192">
        <v>1</v>
      </c>
      <c r="B192" t="s">
        <v>495</v>
      </c>
    </row>
    <row r="193" spans="1:2">
      <c r="A193">
        <v>2</v>
      </c>
      <c r="B193" t="s">
        <v>496</v>
      </c>
    </row>
    <row r="194" spans="1:2">
      <c r="A194">
        <v>3</v>
      </c>
      <c r="B194" s="92" t="s">
        <v>537</v>
      </c>
    </row>
  </sheetData>
  <mergeCells count="4">
    <mergeCell ref="A136:J136"/>
    <mergeCell ref="A3:H3"/>
    <mergeCell ref="A189:J189"/>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6"/>
  <sheetViews>
    <sheetView view="pageBreakPreview" zoomScale="80" zoomScaleSheetLayoutView="80" workbookViewId="0">
      <selection activeCell="J11" sqref="J11"/>
    </sheetView>
  </sheetViews>
  <sheetFormatPr defaultRowHeight="15"/>
  <cols>
    <col min="1" max="1" width="30.42578125" bestFit="1" customWidth="1"/>
    <col min="2" max="3" width="10.85546875" customWidth="1"/>
    <col min="4" max="10" width="11.7109375" bestFit="1" customWidth="1"/>
  </cols>
  <sheetData>
    <row r="2" spans="1:10" ht="18.75">
      <c r="A2" s="486" t="s">
        <v>532</v>
      </c>
      <c r="B2" s="486"/>
      <c r="C2" s="486"/>
      <c r="D2" s="486"/>
      <c r="E2" s="486"/>
      <c r="F2" s="486"/>
      <c r="G2" s="486"/>
      <c r="H2" s="486"/>
    </row>
    <row r="3" spans="1:10" ht="18.75">
      <c r="A3" s="486" t="s">
        <v>533</v>
      </c>
      <c r="B3" s="486"/>
      <c r="C3" s="486"/>
      <c r="D3" s="486"/>
      <c r="E3" s="486"/>
      <c r="F3" s="486"/>
      <c r="G3" s="486"/>
      <c r="H3" s="486"/>
    </row>
    <row r="4" spans="1:10">
      <c r="A4" s="185" t="s">
        <v>160</v>
      </c>
      <c r="B4" s="253">
        <v>500</v>
      </c>
      <c r="C4" s="183" t="s">
        <v>284</v>
      </c>
      <c r="D4" s="183"/>
      <c r="E4" s="183"/>
      <c r="F4" s="183"/>
      <c r="G4" s="184"/>
      <c r="H4" s="92"/>
      <c r="I4">
        <f>15*15</f>
        <v>225</v>
      </c>
    </row>
    <row r="5" spans="1:10">
      <c r="A5" s="185"/>
      <c r="B5" s="186"/>
      <c r="C5" s="184"/>
      <c r="D5" s="184"/>
      <c r="E5" s="184"/>
      <c r="F5" s="184"/>
      <c r="G5" s="184"/>
      <c r="H5" s="92"/>
      <c r="I5">
        <f>I4/10</f>
        <v>22.5</v>
      </c>
    </row>
    <row r="6" spans="1:10">
      <c r="A6" s="185" t="s">
        <v>286</v>
      </c>
      <c r="B6" s="187">
        <v>12</v>
      </c>
      <c r="C6" s="184"/>
      <c r="D6" s="187"/>
      <c r="E6" s="187"/>
      <c r="F6" s="184"/>
      <c r="G6" s="184"/>
      <c r="H6" s="92"/>
    </row>
    <row r="7" spans="1:10">
      <c r="A7" s="185"/>
      <c r="B7" s="92"/>
      <c r="C7" s="187"/>
      <c r="D7" s="187"/>
      <c r="E7" s="187"/>
      <c r="F7" s="184"/>
      <c r="G7" s="184"/>
      <c r="H7" s="92"/>
    </row>
    <row r="8" spans="1:10">
      <c r="A8" s="146" t="s">
        <v>127</v>
      </c>
      <c r="B8" s="118" t="s">
        <v>2</v>
      </c>
      <c r="C8" s="118" t="s">
        <v>3</v>
      </c>
      <c r="D8" s="118" t="s">
        <v>4</v>
      </c>
      <c r="E8" s="118" t="s">
        <v>5</v>
      </c>
      <c r="F8" s="118" t="s">
        <v>6</v>
      </c>
      <c r="G8" s="118" t="s">
        <v>168</v>
      </c>
      <c r="H8" s="118" t="s">
        <v>167</v>
      </c>
    </row>
    <row r="9" spans="1:10">
      <c r="A9" s="93" t="s">
        <v>287</v>
      </c>
      <c r="B9" s="271">
        <v>0.8</v>
      </c>
      <c r="C9" s="271">
        <f>B9+5%</f>
        <v>0.85000000000000009</v>
      </c>
      <c r="D9" s="271">
        <f>C9+5%</f>
        <v>0.90000000000000013</v>
      </c>
      <c r="E9" s="271">
        <f>D9+5%</f>
        <v>0.95000000000000018</v>
      </c>
      <c r="F9" s="271">
        <f>E9+5%</f>
        <v>1.0000000000000002</v>
      </c>
      <c r="G9" s="271">
        <f>F9</f>
        <v>1.0000000000000002</v>
      </c>
      <c r="H9" s="271">
        <f>G9</f>
        <v>1.0000000000000002</v>
      </c>
    </row>
    <row r="10" spans="1:10">
      <c r="A10" s="95" t="s">
        <v>302</v>
      </c>
      <c r="B10" s="189">
        <f t="shared" ref="B10:H10" si="0">$B$4*B9*$B$6</f>
        <v>4800</v>
      </c>
      <c r="C10" s="189">
        <f t="shared" si="0"/>
        <v>5100.0000000000009</v>
      </c>
      <c r="D10" s="189">
        <f t="shared" si="0"/>
        <v>5400.0000000000009</v>
      </c>
      <c r="E10" s="189">
        <f t="shared" si="0"/>
        <v>5700.0000000000018</v>
      </c>
      <c r="F10" s="189">
        <f t="shared" si="0"/>
        <v>6000.0000000000018</v>
      </c>
      <c r="G10" s="189">
        <f t="shared" si="0"/>
        <v>6000.0000000000018</v>
      </c>
      <c r="H10" s="189">
        <f t="shared" si="0"/>
        <v>6000.0000000000018</v>
      </c>
    </row>
    <row r="15" spans="1:10" ht="18.75">
      <c r="A15" s="419" t="s">
        <v>534</v>
      </c>
      <c r="B15" s="419"/>
      <c r="C15" s="419"/>
      <c r="D15" s="419"/>
      <c r="E15" s="419"/>
      <c r="F15" s="419"/>
      <c r="G15" s="419"/>
      <c r="H15" s="419"/>
      <c r="I15" s="419"/>
      <c r="J15" s="419"/>
    </row>
    <row r="16" spans="1:10">
      <c r="A16" s="14"/>
      <c r="B16" s="60"/>
      <c r="C16" s="29"/>
      <c r="D16" s="14"/>
      <c r="E16" s="14"/>
      <c r="F16" s="14"/>
      <c r="G16" s="14"/>
      <c r="H16" s="14"/>
    </row>
    <row r="17" spans="1:11">
      <c r="A17" s="92"/>
      <c r="B17" s="92"/>
      <c r="C17" s="92"/>
      <c r="D17" s="177">
        <v>1</v>
      </c>
      <c r="E17" s="182">
        <f>(D17*5%)+D17</f>
        <v>1.05</v>
      </c>
      <c r="F17" s="182">
        <f t="shared" ref="F17:J17" si="1">(E17*5%)+E17</f>
        <v>1.1025</v>
      </c>
      <c r="G17" s="182">
        <f t="shared" si="1"/>
        <v>1.1576250000000001</v>
      </c>
      <c r="H17" s="182">
        <f t="shared" si="1"/>
        <v>1.2155062500000002</v>
      </c>
      <c r="I17" s="182">
        <f t="shared" si="1"/>
        <v>1.2762815625000004</v>
      </c>
      <c r="J17" s="182">
        <f t="shared" si="1"/>
        <v>1.3400956406250004</v>
      </c>
    </row>
    <row r="18" spans="1:11">
      <c r="A18" s="146" t="s">
        <v>0</v>
      </c>
      <c r="B18" s="146" t="s">
        <v>132</v>
      </c>
      <c r="C18" s="146" t="s">
        <v>151</v>
      </c>
      <c r="D18" s="118" t="s">
        <v>2</v>
      </c>
      <c r="E18" s="118" t="s">
        <v>3</v>
      </c>
      <c r="F18" s="118" t="s">
        <v>4</v>
      </c>
      <c r="G18" s="118" t="s">
        <v>5</v>
      </c>
      <c r="H18" s="118" t="s">
        <v>6</v>
      </c>
      <c r="I18" s="118" t="s">
        <v>168</v>
      </c>
      <c r="J18" s="118" t="s">
        <v>167</v>
      </c>
    </row>
    <row r="19" spans="1:11">
      <c r="A19" s="93"/>
      <c r="B19" s="93"/>
      <c r="C19" s="93"/>
      <c r="D19" s="93"/>
      <c r="E19" s="93"/>
      <c r="F19" s="93"/>
      <c r="G19" s="93"/>
      <c r="H19" s="93"/>
      <c r="I19" s="93"/>
      <c r="J19" s="93"/>
    </row>
    <row r="20" spans="1:11">
      <c r="A20" s="95" t="s">
        <v>175</v>
      </c>
      <c r="B20" s="95"/>
      <c r="C20" s="95"/>
      <c r="D20" s="93"/>
      <c r="E20" s="93"/>
      <c r="F20" s="93"/>
      <c r="G20" s="93"/>
      <c r="H20" s="93"/>
      <c r="I20" s="93"/>
      <c r="J20" s="93"/>
    </row>
    <row r="21" spans="1:11">
      <c r="A21" s="93" t="s">
        <v>304</v>
      </c>
      <c r="B21" s="93"/>
      <c r="C21" s="250">
        <v>0</v>
      </c>
      <c r="D21" s="94">
        <f t="shared" ref="D21:J21" si="2">B10*$C$21*D17</f>
        <v>0</v>
      </c>
      <c r="E21" s="94">
        <f t="shared" si="2"/>
        <v>0</v>
      </c>
      <c r="F21" s="94">
        <f t="shared" si="2"/>
        <v>0</v>
      </c>
      <c r="G21" s="94">
        <f t="shared" si="2"/>
        <v>0</v>
      </c>
      <c r="H21" s="94">
        <f t="shared" si="2"/>
        <v>0</v>
      </c>
      <c r="I21" s="94">
        <f t="shared" si="2"/>
        <v>0</v>
      </c>
      <c r="J21" s="94">
        <f t="shared" si="2"/>
        <v>0</v>
      </c>
    </row>
    <row r="22" spans="1:11">
      <c r="A22" s="93"/>
      <c r="B22" s="93"/>
      <c r="C22" s="94"/>
      <c r="D22" s="94"/>
      <c r="E22" s="94"/>
      <c r="F22" s="94"/>
      <c r="G22" s="94"/>
      <c r="H22" s="94"/>
      <c r="I22" s="94"/>
      <c r="J22" s="94"/>
    </row>
    <row r="23" spans="1:11">
      <c r="A23" s="95" t="s">
        <v>142</v>
      </c>
      <c r="B23" s="95"/>
      <c r="C23" s="113"/>
      <c r="D23" s="94">
        <f t="shared" ref="D23:J23" si="3">SUM(D21:D21)</f>
        <v>0</v>
      </c>
      <c r="E23" s="94">
        <f t="shared" si="3"/>
        <v>0</v>
      </c>
      <c r="F23" s="94">
        <f t="shared" si="3"/>
        <v>0</v>
      </c>
      <c r="G23" s="94">
        <f t="shared" si="3"/>
        <v>0</v>
      </c>
      <c r="H23" s="94">
        <f t="shared" si="3"/>
        <v>0</v>
      </c>
      <c r="I23" s="94">
        <f t="shared" si="3"/>
        <v>0</v>
      </c>
      <c r="J23" s="94">
        <f t="shared" si="3"/>
        <v>0</v>
      </c>
    </row>
    <row r="24" spans="1:11">
      <c r="A24" s="93"/>
      <c r="B24" s="93"/>
      <c r="C24" s="94"/>
      <c r="D24" s="94"/>
      <c r="E24" s="94"/>
      <c r="F24" s="94"/>
      <c r="G24" s="94"/>
      <c r="H24" s="94"/>
      <c r="I24" s="94"/>
      <c r="J24" s="94"/>
    </row>
    <row r="25" spans="1:11">
      <c r="A25" s="95" t="s">
        <v>141</v>
      </c>
      <c r="B25" s="95"/>
      <c r="C25" s="94"/>
      <c r="D25" s="94"/>
      <c r="E25" s="94"/>
      <c r="F25" s="94"/>
      <c r="G25" s="94"/>
      <c r="H25" s="94"/>
      <c r="I25" s="94"/>
      <c r="J25" s="94"/>
    </row>
    <row r="26" spans="1:11">
      <c r="A26" s="95" t="s">
        <v>292</v>
      </c>
      <c r="B26" s="95"/>
      <c r="C26" s="94"/>
      <c r="D26" s="94"/>
      <c r="E26" s="94"/>
      <c r="F26" s="94"/>
      <c r="G26" s="94"/>
      <c r="H26" s="94"/>
      <c r="I26" s="94"/>
      <c r="J26" s="94"/>
    </row>
    <row r="27" spans="1:11">
      <c r="A27" s="93" t="s">
        <v>288</v>
      </c>
      <c r="B27" s="226" t="s">
        <v>284</v>
      </c>
      <c r="C27" s="250">
        <v>0</v>
      </c>
      <c r="D27" s="94">
        <f t="shared" ref="D27:J27" si="4">$B$4*$C$27*D17*4</f>
        <v>0</v>
      </c>
      <c r="E27" s="94">
        <f t="shared" si="4"/>
        <v>0</v>
      </c>
      <c r="F27" s="94">
        <f t="shared" si="4"/>
        <v>0</v>
      </c>
      <c r="G27" s="94">
        <f t="shared" si="4"/>
        <v>0</v>
      </c>
      <c r="H27" s="94">
        <f t="shared" si="4"/>
        <v>0</v>
      </c>
      <c r="I27" s="94">
        <f t="shared" si="4"/>
        <v>0</v>
      </c>
      <c r="J27" s="94">
        <f t="shared" si="4"/>
        <v>0</v>
      </c>
      <c r="K27">
        <v>15</v>
      </c>
    </row>
    <row r="28" spans="1:11">
      <c r="A28" s="93" t="s">
        <v>289</v>
      </c>
      <c r="B28" s="226" t="s">
        <v>284</v>
      </c>
      <c r="C28" s="250">
        <v>0</v>
      </c>
      <c r="D28" s="94">
        <f t="shared" ref="D28:J28" si="5">$B$4*$C$28*D17*12</f>
        <v>0</v>
      </c>
      <c r="E28" s="94">
        <f t="shared" si="5"/>
        <v>0</v>
      </c>
      <c r="F28" s="94">
        <f t="shared" si="5"/>
        <v>0</v>
      </c>
      <c r="G28" s="94">
        <f t="shared" si="5"/>
        <v>0</v>
      </c>
      <c r="H28" s="94">
        <f t="shared" si="5"/>
        <v>0</v>
      </c>
      <c r="I28" s="94">
        <f t="shared" si="5"/>
        <v>0</v>
      </c>
      <c r="J28" s="94">
        <f t="shared" si="5"/>
        <v>0</v>
      </c>
      <c r="K28">
        <v>14</v>
      </c>
    </row>
    <row r="29" spans="1:11">
      <c r="A29" s="93" t="s">
        <v>290</v>
      </c>
      <c r="B29" s="226"/>
      <c r="C29" s="250">
        <v>0</v>
      </c>
      <c r="D29" s="94">
        <f>$C$29*12*D17</f>
        <v>0</v>
      </c>
      <c r="E29" s="94">
        <f t="shared" ref="E29:J29" si="6">$C$29*12*E17</f>
        <v>0</v>
      </c>
      <c r="F29" s="94">
        <f t="shared" si="6"/>
        <v>0</v>
      </c>
      <c r="G29" s="94">
        <f t="shared" si="6"/>
        <v>0</v>
      </c>
      <c r="H29" s="94">
        <f t="shared" si="6"/>
        <v>0</v>
      </c>
      <c r="I29" s="94">
        <f t="shared" si="6"/>
        <v>0</v>
      </c>
      <c r="J29" s="94">
        <f t="shared" si="6"/>
        <v>0</v>
      </c>
    </row>
    <row r="30" spans="1:11">
      <c r="A30" s="93"/>
      <c r="B30" s="226"/>
      <c r="C30" s="250"/>
      <c r="D30" s="94"/>
      <c r="E30" s="94"/>
      <c r="F30" s="94"/>
      <c r="G30" s="94"/>
      <c r="H30" s="94"/>
      <c r="I30" s="94"/>
      <c r="J30" s="94"/>
    </row>
    <row r="31" spans="1:11">
      <c r="A31" s="93"/>
      <c r="B31" s="226"/>
      <c r="C31" s="250"/>
      <c r="D31" s="94"/>
      <c r="E31" s="94"/>
      <c r="F31" s="94"/>
      <c r="G31" s="94"/>
      <c r="H31" s="94"/>
      <c r="I31" s="94"/>
      <c r="J31" s="94"/>
    </row>
    <row r="32" spans="1:11">
      <c r="A32" s="93"/>
      <c r="B32" s="226"/>
      <c r="C32" s="250"/>
      <c r="D32" s="94"/>
      <c r="E32" s="94"/>
      <c r="F32" s="94"/>
      <c r="G32" s="94"/>
      <c r="H32" s="94"/>
      <c r="I32" s="94"/>
      <c r="J32" s="94"/>
    </row>
    <row r="33" spans="1:10">
      <c r="A33" s="93"/>
      <c r="B33" s="226"/>
      <c r="C33" s="250"/>
      <c r="D33" s="94"/>
      <c r="E33" s="94"/>
      <c r="F33" s="94"/>
      <c r="G33" s="94"/>
      <c r="H33" s="94"/>
      <c r="I33" s="94"/>
      <c r="J33" s="94"/>
    </row>
    <row r="34" spans="1:10">
      <c r="A34" s="95" t="s">
        <v>301</v>
      </c>
      <c r="B34" s="231"/>
      <c r="C34" s="252"/>
      <c r="D34" s="113">
        <f>SUM(D27:D33)</f>
        <v>0</v>
      </c>
      <c r="E34" s="113">
        <f t="shared" ref="E34:J34" si="7">SUM(E27:E33)</f>
        <v>0</v>
      </c>
      <c r="F34" s="113">
        <f t="shared" si="7"/>
        <v>0</v>
      </c>
      <c r="G34" s="113">
        <f t="shared" si="7"/>
        <v>0</v>
      </c>
      <c r="H34" s="113">
        <f t="shared" si="7"/>
        <v>0</v>
      </c>
      <c r="I34" s="113">
        <f t="shared" si="7"/>
        <v>0</v>
      </c>
      <c r="J34" s="113">
        <f t="shared" si="7"/>
        <v>0</v>
      </c>
    </row>
    <row r="35" spans="1:10">
      <c r="A35" s="95"/>
      <c r="B35" s="231"/>
      <c r="C35" s="252"/>
      <c r="D35" s="113"/>
      <c r="E35" s="113"/>
      <c r="F35" s="113"/>
      <c r="G35" s="113"/>
      <c r="H35" s="113"/>
      <c r="I35" s="113"/>
      <c r="J35" s="113"/>
    </row>
    <row r="36" spans="1:10">
      <c r="A36" s="95" t="s">
        <v>291</v>
      </c>
      <c r="B36" s="226"/>
      <c r="C36" s="250"/>
      <c r="D36" s="94"/>
      <c r="E36" s="94"/>
      <c r="F36" s="94"/>
      <c r="G36" s="94"/>
      <c r="H36" s="94"/>
      <c r="I36" s="94"/>
      <c r="J36" s="94"/>
    </row>
    <row r="37" spans="1:10">
      <c r="A37" s="93" t="s">
        <v>303</v>
      </c>
      <c r="B37" s="226">
        <v>1</v>
      </c>
      <c r="C37" s="250">
        <v>0</v>
      </c>
      <c r="D37" s="94">
        <f>$B$37*$C$37*D17*12</f>
        <v>0</v>
      </c>
      <c r="E37" s="94">
        <f t="shared" ref="E37:J37" si="8">$B$37*$C$37*E17*12</f>
        <v>0</v>
      </c>
      <c r="F37" s="94">
        <f t="shared" si="8"/>
        <v>0</v>
      </c>
      <c r="G37" s="94">
        <f t="shared" si="8"/>
        <v>0</v>
      </c>
      <c r="H37" s="94">
        <f t="shared" si="8"/>
        <v>0</v>
      </c>
      <c r="I37" s="94">
        <f t="shared" si="8"/>
        <v>0</v>
      </c>
      <c r="J37" s="94">
        <f t="shared" si="8"/>
        <v>0</v>
      </c>
    </row>
    <row r="38" spans="1:10">
      <c r="A38" s="93"/>
      <c r="B38" s="226"/>
      <c r="C38" s="250"/>
      <c r="D38" s="94"/>
      <c r="E38" s="94"/>
      <c r="F38" s="94"/>
      <c r="G38" s="94"/>
      <c r="H38" s="94"/>
      <c r="I38" s="94"/>
      <c r="J38" s="94"/>
    </row>
    <row r="39" spans="1:10">
      <c r="A39" s="93"/>
      <c r="B39" s="226"/>
      <c r="C39" s="250"/>
      <c r="D39" s="94"/>
      <c r="E39" s="94"/>
      <c r="F39" s="94"/>
      <c r="G39" s="94"/>
      <c r="H39" s="94"/>
      <c r="I39" s="94"/>
      <c r="J39" s="94"/>
    </row>
    <row r="40" spans="1:10">
      <c r="A40" s="93"/>
      <c r="B40" s="226"/>
      <c r="C40" s="250"/>
      <c r="D40" s="94"/>
      <c r="E40" s="94"/>
      <c r="F40" s="94"/>
      <c r="G40" s="94"/>
      <c r="H40" s="94"/>
      <c r="I40" s="94"/>
      <c r="J40" s="94"/>
    </row>
    <row r="41" spans="1:10">
      <c r="A41" s="93"/>
      <c r="B41" s="226"/>
      <c r="C41" s="250"/>
      <c r="D41" s="94"/>
      <c r="E41" s="94"/>
      <c r="F41" s="94"/>
      <c r="G41" s="94"/>
      <c r="H41" s="94"/>
      <c r="I41" s="94"/>
      <c r="J41" s="94"/>
    </row>
    <row r="42" spans="1:10">
      <c r="A42" s="93"/>
      <c r="B42" s="226"/>
      <c r="C42" s="250"/>
      <c r="D42" s="94"/>
      <c r="E42" s="94"/>
      <c r="F42" s="94"/>
      <c r="G42" s="94"/>
      <c r="H42" s="94"/>
      <c r="I42" s="94"/>
      <c r="J42" s="94"/>
    </row>
    <row r="43" spans="1:10">
      <c r="A43" s="95" t="s">
        <v>305</v>
      </c>
      <c r="B43" s="95"/>
      <c r="C43" s="113"/>
      <c r="D43" s="113">
        <f>SUM(D37:D42)</f>
        <v>0</v>
      </c>
      <c r="E43" s="113">
        <f t="shared" ref="E43:J43" si="9">SUM(E37:E42)</f>
        <v>0</v>
      </c>
      <c r="F43" s="113">
        <f t="shared" si="9"/>
        <v>0</v>
      </c>
      <c r="G43" s="113">
        <f t="shared" si="9"/>
        <v>0</v>
      </c>
      <c r="H43" s="113">
        <f t="shared" si="9"/>
        <v>0</v>
      </c>
      <c r="I43" s="113">
        <f t="shared" si="9"/>
        <v>0</v>
      </c>
      <c r="J43" s="113">
        <f t="shared" si="9"/>
        <v>0</v>
      </c>
    </row>
    <row r="44" spans="1:10">
      <c r="A44" s="95"/>
      <c r="B44" s="95"/>
      <c r="C44" s="113"/>
      <c r="D44" s="113"/>
      <c r="E44" s="113"/>
      <c r="F44" s="113"/>
      <c r="G44" s="113"/>
      <c r="H44" s="113"/>
      <c r="I44" s="113"/>
      <c r="J44" s="113"/>
    </row>
    <row r="45" spans="1:10">
      <c r="A45" s="95" t="s">
        <v>129</v>
      </c>
      <c r="B45" s="95"/>
      <c r="C45" s="113"/>
      <c r="D45" s="113">
        <f>D34+D43</f>
        <v>0</v>
      </c>
      <c r="E45" s="113">
        <f t="shared" ref="E45:J45" si="10">E34+E43</f>
        <v>0</v>
      </c>
      <c r="F45" s="113">
        <f t="shared" si="10"/>
        <v>0</v>
      </c>
      <c r="G45" s="113">
        <f t="shared" si="10"/>
        <v>0</v>
      </c>
      <c r="H45" s="113">
        <f t="shared" si="10"/>
        <v>0</v>
      </c>
      <c r="I45" s="113">
        <f t="shared" si="10"/>
        <v>0</v>
      </c>
      <c r="J45" s="113">
        <f t="shared" si="10"/>
        <v>0</v>
      </c>
    </row>
    <row r="46" spans="1:10">
      <c r="A46" s="93"/>
      <c r="B46" s="93"/>
      <c r="C46" s="94"/>
      <c r="D46" s="94"/>
      <c r="E46" s="94"/>
      <c r="F46" s="94"/>
      <c r="G46" s="94"/>
      <c r="H46" s="94"/>
      <c r="I46" s="94"/>
      <c r="J46" s="94"/>
    </row>
    <row r="47" spans="1:10">
      <c r="A47" s="95" t="s">
        <v>128</v>
      </c>
      <c r="B47" s="95"/>
      <c r="C47" s="113"/>
      <c r="D47" s="113">
        <f t="shared" ref="D47:J47" si="11">D23-D45</f>
        <v>0</v>
      </c>
      <c r="E47" s="113">
        <f t="shared" si="11"/>
        <v>0</v>
      </c>
      <c r="F47" s="113">
        <f t="shared" si="11"/>
        <v>0</v>
      </c>
      <c r="G47" s="113">
        <f t="shared" si="11"/>
        <v>0</v>
      </c>
      <c r="H47" s="113">
        <f t="shared" si="11"/>
        <v>0</v>
      </c>
      <c r="I47" s="113">
        <f t="shared" si="11"/>
        <v>0</v>
      </c>
      <c r="J47" s="113">
        <f t="shared" si="11"/>
        <v>0</v>
      </c>
    </row>
    <row r="48" spans="1:10">
      <c r="A48" s="92"/>
      <c r="B48" s="92"/>
      <c r="C48" s="92"/>
      <c r="D48" s="92"/>
      <c r="E48" s="92"/>
      <c r="F48" s="92"/>
      <c r="G48" s="92"/>
      <c r="H48" s="92"/>
      <c r="I48" s="92"/>
      <c r="J48" s="92"/>
    </row>
    <row r="49" spans="1:10">
      <c r="A49" s="92"/>
    </row>
    <row r="51" spans="1:10">
      <c r="A51" s="420" t="s">
        <v>400</v>
      </c>
      <c r="B51" s="420"/>
      <c r="C51" s="420"/>
      <c r="D51" s="420"/>
      <c r="E51" s="420"/>
      <c r="F51" s="420"/>
      <c r="G51" s="420"/>
      <c r="H51" s="420"/>
      <c r="I51" s="420"/>
      <c r="J51" s="420"/>
    </row>
    <row r="53" spans="1:10">
      <c r="A53" t="s">
        <v>483</v>
      </c>
    </row>
    <row r="54" spans="1:10">
      <c r="A54">
        <v>1</v>
      </c>
      <c r="B54" t="s">
        <v>495</v>
      </c>
    </row>
    <row r="55" spans="1:10">
      <c r="A55">
        <v>2</v>
      </c>
      <c r="B55" t="s">
        <v>496</v>
      </c>
    </row>
    <row r="56" spans="1:10">
      <c r="A56">
        <v>3</v>
      </c>
      <c r="B56" s="92" t="s">
        <v>537</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view="pageBreakPreview" topLeftCell="A37" zoomScale="130" zoomScaleSheetLayoutView="130" workbookViewId="0">
      <selection activeCell="A14" sqref="A14:F14"/>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6" ht="18.75">
      <c r="B2" s="419" t="s">
        <v>498</v>
      </c>
      <c r="C2" s="419"/>
      <c r="D2" s="419"/>
      <c r="E2" s="419"/>
      <c r="F2" s="419"/>
    </row>
    <row r="4" spans="1:6">
      <c r="B4" s="333" t="s">
        <v>144</v>
      </c>
      <c r="C4" s="333" t="s">
        <v>127</v>
      </c>
      <c r="D4" s="333" t="s">
        <v>157</v>
      </c>
      <c r="E4" s="338" t="s">
        <v>425</v>
      </c>
      <c r="F4" s="338" t="s">
        <v>426</v>
      </c>
    </row>
    <row r="5" spans="1:6">
      <c r="B5" s="334">
        <v>1</v>
      </c>
      <c r="C5" s="335" t="str">
        <f>'2.Capex Details'!B2</f>
        <v>Land and Building</v>
      </c>
      <c r="D5" s="339">
        <f>'2.Capex Details'!G12</f>
        <v>1058475</v>
      </c>
      <c r="E5" s="340">
        <v>0.6</v>
      </c>
      <c r="F5" s="341">
        <f>D5*E5</f>
        <v>635085</v>
      </c>
    </row>
    <row r="6" spans="1:6">
      <c r="B6" s="334">
        <v>2</v>
      </c>
      <c r="C6" s="335" t="str">
        <f>'2.Capex Details'!B17</f>
        <v>Machinery and Equipment</v>
      </c>
      <c r="D6" s="339">
        <f>'2.Capex Details'!G67</f>
        <v>3073040</v>
      </c>
      <c r="E6" s="340">
        <v>0.6</v>
      </c>
      <c r="F6" s="341">
        <f t="shared" ref="F6:F10" si="0">D6*E6</f>
        <v>1843824</v>
      </c>
    </row>
    <row r="7" spans="1:6">
      <c r="B7" s="334">
        <v>3</v>
      </c>
      <c r="C7" s="335" t="str">
        <f>'2.Capex Details'!B73</f>
        <v>Furniture and Fixture</v>
      </c>
      <c r="D7" s="339">
        <f>'2.Capex Details'!F82</f>
        <v>21280</v>
      </c>
      <c r="E7" s="340">
        <v>0.6</v>
      </c>
      <c r="F7" s="341">
        <f t="shared" si="0"/>
        <v>12768</v>
      </c>
    </row>
    <row r="8" spans="1:6">
      <c r="B8" s="334">
        <v>4</v>
      </c>
      <c r="C8" s="335" t="str">
        <f>'2.Capex Details'!B87</f>
        <v>IT &amp; It Infrastracture</v>
      </c>
      <c r="D8" s="339">
        <f>'2.Capex Details'!F96</f>
        <v>70499</v>
      </c>
      <c r="E8" s="340">
        <v>0.6</v>
      </c>
      <c r="F8" s="341">
        <f t="shared" si="0"/>
        <v>42299.4</v>
      </c>
    </row>
    <row r="9" spans="1:6" ht="25.5">
      <c r="B9" s="334">
        <v>5</v>
      </c>
      <c r="C9" s="335" t="str">
        <f>'2.Capex Details'!B101</f>
        <v>Transport vehical  (Refer van and other)</v>
      </c>
      <c r="D9" s="339">
        <f>'2.Capex Details'!F107</f>
        <v>0</v>
      </c>
      <c r="E9" s="340">
        <v>0.6</v>
      </c>
      <c r="F9" s="341">
        <f t="shared" si="0"/>
        <v>0</v>
      </c>
    </row>
    <row r="10" spans="1:6">
      <c r="B10" s="334">
        <v>6</v>
      </c>
      <c r="C10" s="335" t="str">
        <f>'2.Capex Details'!B111</f>
        <v>Preliminary Expenses</v>
      </c>
      <c r="D10" s="339">
        <f>'2.Capex Details'!D119</f>
        <v>107000</v>
      </c>
      <c r="E10" s="340">
        <v>0.6</v>
      </c>
      <c r="F10" s="341">
        <f t="shared" si="0"/>
        <v>64200</v>
      </c>
    </row>
    <row r="11" spans="1:6">
      <c r="B11" s="334">
        <v>7</v>
      </c>
      <c r="C11" s="335" t="s">
        <v>155</v>
      </c>
      <c r="D11" s="339">
        <f>'5.Closing Stock &amp; W Capital'!E46</f>
        <v>833298.34740631143</v>
      </c>
      <c r="E11" s="342"/>
      <c r="F11" s="342"/>
    </row>
    <row r="12" spans="1:6">
      <c r="B12" s="418" t="s">
        <v>1</v>
      </c>
      <c r="C12" s="418"/>
      <c r="D12" s="343">
        <f>SUM(D5:D11)</f>
        <v>5163592.347406311</v>
      </c>
      <c r="E12" s="342"/>
      <c r="F12" s="343">
        <f>SUM(F5:F11)</f>
        <v>2598176.4</v>
      </c>
    </row>
    <row r="13" spans="1:6">
      <c r="D13" s="21"/>
    </row>
    <row r="14" spans="1:6" ht="25.5" customHeight="1">
      <c r="A14" s="421" t="s">
        <v>395</v>
      </c>
      <c r="B14" s="421"/>
      <c r="C14" s="421"/>
      <c r="D14" s="421"/>
      <c r="E14" s="421"/>
      <c r="F14" s="421"/>
    </row>
    <row r="16" spans="1:6" ht="18.75">
      <c r="B16" s="419" t="s">
        <v>499</v>
      </c>
      <c r="C16" s="419"/>
      <c r="D16" s="419"/>
      <c r="E16" s="419"/>
      <c r="F16" s="419"/>
    </row>
    <row r="18" spans="2:7">
      <c r="B18" s="332" t="s">
        <v>144</v>
      </c>
      <c r="C18" s="333" t="s">
        <v>127</v>
      </c>
      <c r="D18" s="333" t="s">
        <v>583</v>
      </c>
      <c r="E18" s="333" t="s">
        <v>157</v>
      </c>
    </row>
    <row r="19" spans="2:7" ht="25.5">
      <c r="B19" s="334">
        <v>1</v>
      </c>
      <c r="C19" s="335" t="s">
        <v>310</v>
      </c>
      <c r="D19" s="370"/>
      <c r="E19" s="336">
        <f>F12</f>
        <v>2598176.4</v>
      </c>
    </row>
    <row r="20" spans="2:7">
      <c r="B20" s="334">
        <v>2</v>
      </c>
      <c r="C20" s="335" t="s">
        <v>156</v>
      </c>
      <c r="D20" s="364">
        <v>0</v>
      </c>
      <c r="E20" s="336">
        <f>SUM(D5:D9)*D20</f>
        <v>0</v>
      </c>
    </row>
    <row r="21" spans="2:7">
      <c r="B21" s="334">
        <v>3</v>
      </c>
      <c r="C21" s="335" t="s">
        <v>134</v>
      </c>
      <c r="D21" s="336"/>
      <c r="E21" s="336">
        <f>D12-E19-E20</f>
        <v>2565415.9474063111</v>
      </c>
    </row>
    <row r="22" spans="2:7">
      <c r="B22" s="418" t="s">
        <v>1</v>
      </c>
      <c r="C22" s="418"/>
      <c r="D22" s="337"/>
      <c r="E22" s="337">
        <f>SUM(E19:E21)</f>
        <v>5163592.347406311</v>
      </c>
    </row>
    <row r="24" spans="2:7">
      <c r="B24" s="420" t="s">
        <v>396</v>
      </c>
      <c r="C24" s="420"/>
      <c r="D24" s="420"/>
      <c r="E24" s="420"/>
      <c r="F24" s="420"/>
    </row>
    <row r="26" spans="2:7" ht="18.75">
      <c r="B26" s="417" t="s">
        <v>500</v>
      </c>
      <c r="C26" s="417"/>
      <c r="D26" s="417"/>
      <c r="E26" s="417"/>
      <c r="F26" s="417"/>
    </row>
    <row r="27" spans="2:7">
      <c r="B27" s="344" t="s">
        <v>144</v>
      </c>
      <c r="C27" s="345" t="s">
        <v>540</v>
      </c>
      <c r="D27" s="346" t="s">
        <v>541</v>
      </c>
      <c r="E27" s="347" t="s">
        <v>542</v>
      </c>
      <c r="F27" s="415" t="s">
        <v>543</v>
      </c>
      <c r="G27" s="416"/>
    </row>
    <row r="28" spans="2:7" ht="25.5">
      <c r="B28" s="348">
        <v>1</v>
      </c>
      <c r="C28" s="335" t="s">
        <v>355</v>
      </c>
      <c r="D28" s="349">
        <f>'9. Financial indiacators'!C46</f>
        <v>0.46704018223023358</v>
      </c>
      <c r="E28" s="348" t="s">
        <v>356</v>
      </c>
      <c r="F28" s="355" t="s">
        <v>544</v>
      </c>
      <c r="G28" s="348" t="s">
        <v>357</v>
      </c>
    </row>
    <row r="29" spans="2:7" ht="38.25">
      <c r="B29" s="348">
        <v>2</v>
      </c>
      <c r="C29" s="335" t="s">
        <v>358</v>
      </c>
      <c r="D29" s="350">
        <f>'9. Financial indiacators'!C82</f>
        <v>0.20110603489610668</v>
      </c>
      <c r="E29" s="348" t="s">
        <v>356</v>
      </c>
      <c r="F29" s="355" t="s">
        <v>545</v>
      </c>
      <c r="G29" s="348" t="s">
        <v>359</v>
      </c>
    </row>
    <row r="30" spans="2:7" ht="38.25">
      <c r="B30" s="348">
        <v>3</v>
      </c>
      <c r="C30" s="335" t="s">
        <v>360</v>
      </c>
      <c r="D30" s="349">
        <f>'9. Financial indiacators'!C16</f>
        <v>0.14388315750626313</v>
      </c>
      <c r="E30" s="348" t="s">
        <v>356</v>
      </c>
      <c r="F30" s="355" t="s">
        <v>546</v>
      </c>
      <c r="G30" s="348" t="s">
        <v>361</v>
      </c>
    </row>
    <row r="31" spans="2:7" ht="63.75">
      <c r="B31" s="348">
        <v>4</v>
      </c>
      <c r="C31" s="335" t="s">
        <v>362</v>
      </c>
      <c r="D31" s="351">
        <f>'9. Financial indiacators'!C70</f>
        <v>867087.32821171917</v>
      </c>
      <c r="E31" s="348" t="s">
        <v>366</v>
      </c>
      <c r="F31" s="355" t="s">
        <v>547</v>
      </c>
      <c r="G31" s="348" t="s">
        <v>363</v>
      </c>
    </row>
    <row r="32" spans="2:7" ht="38.25">
      <c r="B32" s="348">
        <v>5</v>
      </c>
      <c r="C32" s="335" t="s">
        <v>364</v>
      </c>
      <c r="D32" s="352">
        <f>'9. Financial indiacators'!D98</f>
        <v>4.6400492954019281</v>
      </c>
      <c r="E32" s="348" t="s">
        <v>356</v>
      </c>
      <c r="F32" s="355" t="s">
        <v>548</v>
      </c>
      <c r="G32" s="348" t="s">
        <v>367</v>
      </c>
    </row>
    <row r="33" spans="2:7" ht="38.25">
      <c r="B33" s="348">
        <v>6</v>
      </c>
      <c r="C33" s="353" t="s">
        <v>365</v>
      </c>
      <c r="D33" s="352" t="e">
        <f>'9. Financial indiacators'!C116</f>
        <v>#DIV/0!</v>
      </c>
      <c r="E33" s="354" t="s">
        <v>356</v>
      </c>
      <c r="F33" s="355" t="s">
        <v>549</v>
      </c>
      <c r="G33" s="353" t="s">
        <v>368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1"/>
  <sheetViews>
    <sheetView view="pageBreakPreview" topLeftCell="A106" zoomScale="115" zoomScaleSheetLayoutView="115" workbookViewId="0">
      <selection activeCell="E116" sqref="E116"/>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28515625" customWidth="1"/>
    <col min="8" max="8" width="11.5703125" bestFit="1" customWidth="1"/>
  </cols>
  <sheetData>
    <row r="2" spans="1:7" ht="18.75">
      <c r="A2">
        <v>2.1</v>
      </c>
      <c r="B2" s="419" t="s">
        <v>153</v>
      </c>
      <c r="C2" s="419"/>
      <c r="D2" s="419"/>
      <c r="E2" s="419"/>
      <c r="F2" s="419"/>
      <c r="G2" s="419"/>
    </row>
    <row r="4" spans="1:7" ht="28.5">
      <c r="B4" s="208" t="s">
        <v>144</v>
      </c>
      <c r="C4" s="208" t="s">
        <v>127</v>
      </c>
      <c r="D4" s="208" t="s">
        <v>132</v>
      </c>
      <c r="E4" s="208" t="s">
        <v>145</v>
      </c>
      <c r="F4" s="208" t="s">
        <v>146</v>
      </c>
      <c r="G4" s="208" t="s">
        <v>157</v>
      </c>
    </row>
    <row r="5" spans="1:7">
      <c r="B5" s="255">
        <v>1</v>
      </c>
      <c r="C5" s="255" t="s">
        <v>147</v>
      </c>
      <c r="D5" s="255"/>
      <c r="E5" s="387"/>
      <c r="F5" s="388"/>
      <c r="G5" s="389" t="s">
        <v>148</v>
      </c>
    </row>
    <row r="6" spans="1:7">
      <c r="B6" s="255">
        <v>2</v>
      </c>
      <c r="C6" s="255" t="s">
        <v>627</v>
      </c>
      <c r="D6" s="256"/>
      <c r="E6" s="223"/>
      <c r="F6" s="224">
        <v>0</v>
      </c>
      <c r="G6" s="225">
        <f>E6*F6</f>
        <v>0</v>
      </c>
    </row>
    <row r="7" spans="1:7">
      <c r="B7" s="255">
        <v>3</v>
      </c>
      <c r="C7" s="255" t="s">
        <v>674</v>
      </c>
      <c r="D7" s="256"/>
      <c r="E7" s="223">
        <v>1</v>
      </c>
      <c r="F7" s="224">
        <v>1058475</v>
      </c>
      <c r="G7" s="225">
        <f t="shared" ref="G7" si="0">E7*F7</f>
        <v>1058475</v>
      </c>
    </row>
    <row r="8" spans="1:7">
      <c r="B8" s="255"/>
      <c r="C8" s="255"/>
      <c r="D8" s="256"/>
      <c r="E8" s="223"/>
      <c r="F8" s="224">
        <v>0</v>
      </c>
      <c r="G8" s="225"/>
    </row>
    <row r="9" spans="1:7">
      <c r="B9" s="255"/>
      <c r="C9" s="255"/>
      <c r="D9" s="256"/>
      <c r="E9" s="223"/>
      <c r="F9" s="224"/>
      <c r="G9" s="225">
        <f t="shared" ref="G9:G11" si="1">E9*F9</f>
        <v>0</v>
      </c>
    </row>
    <row r="10" spans="1:7">
      <c r="B10" s="255"/>
      <c r="C10" s="255"/>
      <c r="D10" s="256"/>
      <c r="E10" s="223"/>
      <c r="F10" s="224"/>
      <c r="G10" s="225">
        <f t="shared" si="1"/>
        <v>0</v>
      </c>
    </row>
    <row r="11" spans="1:7">
      <c r="B11" s="255"/>
      <c r="C11" s="255"/>
      <c r="D11" s="256"/>
      <c r="E11" s="223"/>
      <c r="F11" s="224"/>
      <c r="G11" s="225">
        <f t="shared" si="1"/>
        <v>0</v>
      </c>
    </row>
    <row r="12" spans="1:7" ht="13.5" customHeight="1">
      <c r="B12" s="429" t="s">
        <v>1</v>
      </c>
      <c r="C12" s="429"/>
      <c r="D12" s="429"/>
      <c r="E12" s="429"/>
      <c r="F12" s="429"/>
      <c r="G12" s="222">
        <f>SUM(G6:G11)</f>
        <v>1058475</v>
      </c>
    </row>
    <row r="15" spans="1:7">
      <c r="B15" s="420" t="s">
        <v>391</v>
      </c>
      <c r="C15" s="420"/>
      <c r="D15" s="420"/>
      <c r="E15" s="420"/>
      <c r="F15" s="420"/>
      <c r="G15" s="420"/>
    </row>
    <row r="17" spans="1:8" ht="18.75">
      <c r="A17">
        <v>2.2000000000000002</v>
      </c>
      <c r="B17" s="419" t="s">
        <v>154</v>
      </c>
      <c r="C17" s="419"/>
      <c r="D17" s="419"/>
      <c r="E17" s="419"/>
      <c r="F17" s="419"/>
      <c r="G17" s="419"/>
      <c r="H17" s="419"/>
    </row>
    <row r="18" spans="1:8">
      <c r="B18" s="19"/>
    </row>
    <row r="19" spans="1:8" ht="28.5">
      <c r="B19" s="308" t="s">
        <v>144</v>
      </c>
      <c r="C19" s="308" t="s">
        <v>149</v>
      </c>
      <c r="D19" s="308" t="s">
        <v>160</v>
      </c>
      <c r="E19" s="308" t="s">
        <v>150</v>
      </c>
      <c r="F19" s="308" t="s">
        <v>151</v>
      </c>
      <c r="G19" s="308" t="s">
        <v>157</v>
      </c>
      <c r="H19" s="308" t="s">
        <v>152</v>
      </c>
    </row>
    <row r="20" spans="1:8">
      <c r="B20" s="233"/>
      <c r="C20" s="226"/>
      <c r="D20" s="226"/>
      <c r="E20" s="226"/>
      <c r="F20" s="226"/>
      <c r="G20" s="227"/>
      <c r="H20" s="226"/>
    </row>
    <row r="21" spans="1:8">
      <c r="B21" s="229" t="s">
        <v>171</v>
      </c>
      <c r="C21" s="228" t="s">
        <v>342</v>
      </c>
      <c r="D21" s="228"/>
      <c r="E21" s="229"/>
      <c r="F21" s="230"/>
      <c r="G21" s="227">
        <f t="shared" ref="G21:G31" si="2">E21*F21</f>
        <v>0</v>
      </c>
      <c r="H21" s="231"/>
    </row>
    <row r="22" spans="1:8">
      <c r="B22" s="229"/>
      <c r="C22" s="228" t="s">
        <v>626</v>
      </c>
      <c r="D22" s="228"/>
      <c r="E22" s="229"/>
      <c r="F22" s="230"/>
      <c r="G22" s="227">
        <f t="shared" si="2"/>
        <v>0</v>
      </c>
      <c r="H22" s="231"/>
    </row>
    <row r="23" spans="1:8">
      <c r="B23" s="229"/>
      <c r="C23" s="228"/>
      <c r="D23" s="228"/>
      <c r="E23" s="229"/>
      <c r="F23" s="230"/>
      <c r="G23" s="227">
        <f t="shared" si="2"/>
        <v>0</v>
      </c>
      <c r="H23" s="231"/>
    </row>
    <row r="24" spans="1:8">
      <c r="B24" s="229"/>
      <c r="C24" s="228"/>
      <c r="D24" s="228"/>
      <c r="E24" s="229"/>
      <c r="F24" s="230"/>
      <c r="G24" s="227">
        <f t="shared" si="2"/>
        <v>0</v>
      </c>
      <c r="H24" s="231"/>
    </row>
    <row r="25" spans="1:8">
      <c r="B25" s="229"/>
      <c r="C25" s="228"/>
      <c r="D25" s="228"/>
      <c r="E25" s="229"/>
      <c r="F25" s="230"/>
      <c r="G25" s="227">
        <f t="shared" si="2"/>
        <v>0</v>
      </c>
      <c r="H25" s="231"/>
    </row>
    <row r="26" spans="1:8">
      <c r="B26" s="229"/>
      <c r="C26" s="228"/>
      <c r="D26" s="228"/>
      <c r="E26" s="229"/>
      <c r="F26" s="230"/>
      <c r="G26" s="227">
        <f t="shared" si="2"/>
        <v>0</v>
      </c>
      <c r="H26" s="231"/>
    </row>
    <row r="27" spans="1:8">
      <c r="B27" s="229"/>
      <c r="C27" s="228"/>
      <c r="D27" s="228"/>
      <c r="E27" s="229"/>
      <c r="F27" s="230"/>
      <c r="G27" s="227">
        <f t="shared" si="2"/>
        <v>0</v>
      </c>
      <c r="H27" s="231"/>
    </row>
    <row r="28" spans="1:8">
      <c r="B28" s="229"/>
      <c r="C28" s="228"/>
      <c r="D28" s="228"/>
      <c r="E28" s="229"/>
      <c r="F28" s="230"/>
      <c r="G28" s="227">
        <f t="shared" si="2"/>
        <v>0</v>
      </c>
      <c r="H28" s="231"/>
    </row>
    <row r="29" spans="1:8">
      <c r="B29" s="229"/>
      <c r="C29" s="228"/>
      <c r="D29" s="229"/>
      <c r="E29" s="229"/>
      <c r="F29" s="230"/>
      <c r="G29" s="227">
        <f t="shared" si="2"/>
        <v>0</v>
      </c>
      <c r="H29" s="231"/>
    </row>
    <row r="30" spans="1:8">
      <c r="B30" s="229"/>
      <c r="C30" s="228"/>
      <c r="D30" s="229"/>
      <c r="E30" s="229"/>
      <c r="F30" s="230"/>
      <c r="G30" s="227">
        <f t="shared" si="2"/>
        <v>0</v>
      </c>
      <c r="H30" s="231"/>
    </row>
    <row r="31" spans="1:8">
      <c r="B31" s="229"/>
      <c r="C31" s="228"/>
      <c r="D31" s="229"/>
      <c r="E31" s="229"/>
      <c r="F31" s="230"/>
      <c r="G31" s="227">
        <f t="shared" si="2"/>
        <v>0</v>
      </c>
      <c r="H31" s="231"/>
    </row>
    <row r="32" spans="1:8">
      <c r="B32" s="425" t="s">
        <v>170</v>
      </c>
      <c r="C32" s="425"/>
      <c r="D32" s="229"/>
      <c r="E32" s="229"/>
      <c r="F32" s="232"/>
      <c r="G32" s="227">
        <f>SUM(G21:G31)</f>
        <v>0</v>
      </c>
      <c r="H32" s="227">
        <f>SUM(H21:H31)</f>
        <v>0</v>
      </c>
    </row>
    <row r="33" spans="2:8" ht="15.75">
      <c r="B33" s="229" t="s">
        <v>172</v>
      </c>
      <c r="C33" s="394" t="s">
        <v>670</v>
      </c>
      <c r="D33" s="233"/>
      <c r="E33" s="233"/>
      <c r="F33" s="227"/>
      <c r="G33" s="227"/>
      <c r="H33" s="226"/>
    </row>
    <row r="34" spans="2:8">
      <c r="B34" s="233"/>
      <c r="C34" s="234" t="s">
        <v>672</v>
      </c>
      <c r="D34" s="233" t="s">
        <v>663</v>
      </c>
      <c r="E34" s="233">
        <v>1</v>
      </c>
      <c r="F34" s="227">
        <v>471500</v>
      </c>
      <c r="G34" s="227">
        <f t="shared" ref="G34:G37" si="3">E34*F34</f>
        <v>471500</v>
      </c>
      <c r="H34" s="226">
        <v>20</v>
      </c>
    </row>
    <row r="35" spans="2:8" ht="30">
      <c r="B35" s="233"/>
      <c r="C35" s="234" t="s">
        <v>659</v>
      </c>
      <c r="D35" s="234" t="s">
        <v>667</v>
      </c>
      <c r="E35" s="233">
        <v>1</v>
      </c>
      <c r="F35" s="227">
        <v>126000</v>
      </c>
      <c r="G35" s="227">
        <f t="shared" si="3"/>
        <v>126000</v>
      </c>
      <c r="H35" s="226">
        <v>1</v>
      </c>
    </row>
    <row r="36" spans="2:8">
      <c r="B36" s="233"/>
      <c r="C36" s="395" t="s">
        <v>651</v>
      </c>
      <c r="D36" s="234"/>
      <c r="E36" s="233">
        <v>1</v>
      </c>
      <c r="F36" s="227">
        <v>21240</v>
      </c>
      <c r="G36" s="227">
        <f t="shared" si="3"/>
        <v>21240</v>
      </c>
      <c r="H36" s="226">
        <v>0.5</v>
      </c>
    </row>
    <row r="37" spans="2:8">
      <c r="B37" s="233"/>
      <c r="C37" s="256" t="s">
        <v>665</v>
      </c>
      <c r="D37" s="234" t="s">
        <v>668</v>
      </c>
      <c r="E37" s="233">
        <v>1</v>
      </c>
      <c r="F37" s="227">
        <v>149800</v>
      </c>
      <c r="G37" s="227">
        <f t="shared" si="3"/>
        <v>149800</v>
      </c>
      <c r="H37" s="226">
        <v>3</v>
      </c>
    </row>
    <row r="38" spans="2:8">
      <c r="B38" s="233"/>
      <c r="C38" s="256" t="s">
        <v>673</v>
      </c>
      <c r="D38" s="233"/>
      <c r="E38" s="233">
        <v>1</v>
      </c>
      <c r="F38" s="227">
        <v>413000</v>
      </c>
      <c r="G38" s="227">
        <f t="shared" ref="G38:G39" si="4">E38*F38</f>
        <v>413000</v>
      </c>
      <c r="H38" s="226"/>
    </row>
    <row r="39" spans="2:8">
      <c r="B39" s="233"/>
      <c r="C39" s="234"/>
      <c r="D39" s="233"/>
      <c r="E39" s="233"/>
      <c r="F39" s="227"/>
      <c r="G39" s="227">
        <f t="shared" si="4"/>
        <v>0</v>
      </c>
      <c r="H39" s="226"/>
    </row>
    <row r="40" spans="2:8">
      <c r="B40" s="233"/>
      <c r="C40" s="234"/>
      <c r="D40" s="233"/>
      <c r="E40" s="233"/>
      <c r="F40" s="227"/>
      <c r="G40" s="227">
        <f t="shared" ref="G40:G46" si="5">F40</f>
        <v>0</v>
      </c>
      <c r="H40" s="226"/>
    </row>
    <row r="41" spans="2:8">
      <c r="B41" s="233"/>
      <c r="C41" s="234"/>
      <c r="D41" s="233"/>
      <c r="E41" s="233"/>
      <c r="F41" s="227"/>
      <c r="G41" s="227">
        <f t="shared" si="5"/>
        <v>0</v>
      </c>
      <c r="H41" s="226"/>
    </row>
    <row r="42" spans="2:8">
      <c r="B42" s="233"/>
      <c r="C42" s="234"/>
      <c r="D42" s="233"/>
      <c r="E42" s="233"/>
      <c r="F42" s="227"/>
      <c r="G42" s="227">
        <f t="shared" si="5"/>
        <v>0</v>
      </c>
      <c r="H42" s="226"/>
    </row>
    <row r="43" spans="2:8">
      <c r="B43" s="233"/>
      <c r="C43" s="234"/>
      <c r="D43" s="233"/>
      <c r="E43" s="233"/>
      <c r="F43" s="227"/>
      <c r="G43" s="227">
        <f t="shared" si="5"/>
        <v>0</v>
      </c>
      <c r="H43" s="226"/>
    </row>
    <row r="44" spans="2:8">
      <c r="B44" s="233"/>
      <c r="C44" s="234"/>
      <c r="D44" s="233"/>
      <c r="E44" s="233"/>
      <c r="F44" s="227"/>
      <c r="G44" s="227">
        <f t="shared" si="5"/>
        <v>0</v>
      </c>
      <c r="H44" s="226"/>
    </row>
    <row r="45" spans="2:8">
      <c r="B45" s="233"/>
      <c r="C45" s="234"/>
      <c r="D45" s="233"/>
      <c r="E45" s="233"/>
      <c r="F45" s="227"/>
      <c r="G45" s="227">
        <f t="shared" si="5"/>
        <v>0</v>
      </c>
      <c r="H45" s="226"/>
    </row>
    <row r="46" spans="2:8">
      <c r="B46" s="233"/>
      <c r="C46" s="234"/>
      <c r="D46" s="233"/>
      <c r="E46" s="233"/>
      <c r="F46" s="227"/>
      <c r="G46" s="227">
        <f t="shared" si="5"/>
        <v>0</v>
      </c>
      <c r="H46" s="226"/>
    </row>
    <row r="47" spans="2:8">
      <c r="B47" s="425" t="s">
        <v>170</v>
      </c>
      <c r="C47" s="425"/>
      <c r="D47" s="229"/>
      <c r="E47" s="229"/>
      <c r="F47" s="232"/>
      <c r="G47" s="232">
        <f>SUM(G34:G46)</f>
        <v>1181540</v>
      </c>
      <c r="H47" s="232">
        <f>SUM(H34:H46)</f>
        <v>24.5</v>
      </c>
    </row>
    <row r="48" spans="2:8">
      <c r="B48" s="233"/>
      <c r="C48" s="234"/>
      <c r="D48" s="233"/>
      <c r="E48" s="233"/>
      <c r="F48" s="227"/>
      <c r="G48" s="227"/>
      <c r="H48" s="226"/>
    </row>
    <row r="49" spans="2:8" ht="15.75">
      <c r="B49" s="229" t="s">
        <v>173</v>
      </c>
      <c r="C49" s="394" t="s">
        <v>648</v>
      </c>
      <c r="D49" s="233"/>
      <c r="E49" s="233"/>
      <c r="F49" s="227"/>
      <c r="G49" s="227">
        <f t="shared" ref="G49:G58" si="6">E49*F49</f>
        <v>0</v>
      </c>
      <c r="H49" s="226"/>
    </row>
    <row r="50" spans="2:8">
      <c r="B50" s="229"/>
      <c r="C50" s="234" t="s">
        <v>671</v>
      </c>
      <c r="D50" s="233" t="s">
        <v>649</v>
      </c>
      <c r="E50" s="233">
        <v>1</v>
      </c>
      <c r="F50" s="227">
        <v>1378000</v>
      </c>
      <c r="G50" s="227">
        <f t="shared" si="6"/>
        <v>1378000</v>
      </c>
      <c r="H50" s="226">
        <v>12</v>
      </c>
    </row>
    <row r="51" spans="2:8">
      <c r="B51" s="229"/>
      <c r="C51" s="234" t="s">
        <v>650</v>
      </c>
      <c r="D51" s="233" t="s">
        <v>664</v>
      </c>
      <c r="E51" s="233">
        <v>1</v>
      </c>
      <c r="F51" s="227">
        <v>17000</v>
      </c>
      <c r="G51" s="227">
        <f>E51*F51</f>
        <v>17000</v>
      </c>
      <c r="H51" s="226"/>
    </row>
    <row r="52" spans="2:8">
      <c r="B52" s="229"/>
      <c r="C52" s="256" t="s">
        <v>661</v>
      </c>
      <c r="D52" s="234"/>
      <c r="E52" s="233">
        <v>1</v>
      </c>
      <c r="F52" s="227">
        <v>61500</v>
      </c>
      <c r="G52" s="227">
        <f t="shared" si="6"/>
        <v>61500</v>
      </c>
      <c r="H52" s="226"/>
    </row>
    <row r="53" spans="2:8">
      <c r="B53" s="229"/>
      <c r="C53" s="256" t="s">
        <v>658</v>
      </c>
      <c r="D53" s="234"/>
      <c r="E53" s="233">
        <v>1</v>
      </c>
      <c r="F53" s="227">
        <v>420000</v>
      </c>
      <c r="G53" s="227">
        <f t="shared" si="6"/>
        <v>420000</v>
      </c>
      <c r="H53" s="226"/>
    </row>
    <row r="54" spans="2:8">
      <c r="B54" s="375"/>
      <c r="C54" s="256" t="s">
        <v>652</v>
      </c>
      <c r="D54" s="234"/>
      <c r="E54" s="233">
        <v>2</v>
      </c>
      <c r="F54" s="227">
        <v>7500</v>
      </c>
      <c r="G54" s="227">
        <f t="shared" si="6"/>
        <v>15000</v>
      </c>
      <c r="H54" s="226"/>
    </row>
    <row r="55" spans="2:8">
      <c r="B55" s="375"/>
      <c r="C55" s="390"/>
      <c r="D55" s="234"/>
      <c r="E55" s="233"/>
      <c r="F55" s="227"/>
      <c r="G55" s="227">
        <f t="shared" si="6"/>
        <v>0</v>
      </c>
      <c r="H55" s="226"/>
    </row>
    <row r="56" spans="2:8">
      <c r="B56" s="375"/>
      <c r="C56" s="228"/>
      <c r="D56" s="234"/>
      <c r="E56" s="233"/>
      <c r="F56" s="227">
        <v>0</v>
      </c>
      <c r="G56" s="227"/>
      <c r="H56" s="226"/>
    </row>
    <row r="57" spans="2:8">
      <c r="B57" s="375"/>
      <c r="C57" s="228"/>
      <c r="D57" s="234"/>
      <c r="E57" s="233"/>
      <c r="F57" s="227">
        <v>0</v>
      </c>
      <c r="G57" s="227">
        <f t="shared" si="6"/>
        <v>0</v>
      </c>
      <c r="H57" s="226"/>
    </row>
    <row r="58" spans="2:8">
      <c r="B58" s="375"/>
      <c r="C58" s="228"/>
      <c r="D58" s="234"/>
      <c r="E58" s="233"/>
      <c r="F58" s="227">
        <v>0</v>
      </c>
      <c r="G58" s="227">
        <f t="shared" si="6"/>
        <v>0</v>
      </c>
      <c r="H58" s="226"/>
    </row>
    <row r="59" spans="2:8">
      <c r="B59" s="425" t="s">
        <v>170</v>
      </c>
      <c r="C59" s="425"/>
      <c r="D59" s="234"/>
      <c r="E59" s="233"/>
      <c r="F59" s="227"/>
      <c r="G59" s="227">
        <f>SUM(G49:G58)</f>
        <v>1891500</v>
      </c>
      <c r="H59" s="227">
        <f>SUM(H49:H58)</f>
        <v>12</v>
      </c>
    </row>
    <row r="60" spans="2:8">
      <c r="B60" s="229"/>
      <c r="C60" s="229"/>
      <c r="D60" s="234"/>
      <c r="E60" s="233"/>
      <c r="F60" s="227"/>
      <c r="G60" s="227"/>
      <c r="H60" s="227"/>
    </row>
    <row r="61" spans="2:8">
      <c r="B61" s="229" t="s">
        <v>174</v>
      </c>
      <c r="C61" s="229" t="s">
        <v>482</v>
      </c>
      <c r="D61" s="234"/>
      <c r="E61" s="233"/>
      <c r="F61" s="227"/>
      <c r="G61" s="227">
        <f>E61*F61</f>
        <v>0</v>
      </c>
      <c r="H61" s="227"/>
    </row>
    <row r="62" spans="2:8">
      <c r="B62" s="229"/>
      <c r="C62" s="229"/>
      <c r="D62" s="234"/>
      <c r="E62" s="233"/>
      <c r="F62" s="227"/>
      <c r="G62" s="227">
        <f t="shared" ref="G62:G64" si="7">E62*F62</f>
        <v>0</v>
      </c>
      <c r="H62" s="227"/>
    </row>
    <row r="63" spans="2:8">
      <c r="B63" s="229"/>
      <c r="C63" s="229"/>
      <c r="D63" s="234"/>
      <c r="E63" s="233"/>
      <c r="F63" s="227"/>
      <c r="G63" s="227">
        <f t="shared" si="7"/>
        <v>0</v>
      </c>
      <c r="H63" s="227"/>
    </row>
    <row r="64" spans="2:8">
      <c r="B64" s="229"/>
      <c r="C64" s="228"/>
      <c r="D64" s="234"/>
      <c r="E64" s="233"/>
      <c r="F64" s="227"/>
      <c r="G64" s="227">
        <f t="shared" si="7"/>
        <v>0</v>
      </c>
      <c r="H64" s="226"/>
    </row>
    <row r="65" spans="1:8">
      <c r="B65" s="425" t="s">
        <v>170</v>
      </c>
      <c r="C65" s="425"/>
      <c r="D65" s="234"/>
      <c r="E65" s="233"/>
      <c r="F65" s="227"/>
      <c r="G65" s="227">
        <f>SUM(G61:G64)</f>
        <v>0</v>
      </c>
      <c r="H65" s="227">
        <f>SUM(H61:H64)</f>
        <v>0</v>
      </c>
    </row>
    <row r="66" spans="1:8">
      <c r="B66" s="233"/>
      <c r="C66" s="234"/>
      <c r="D66" s="234"/>
      <c r="E66" s="233"/>
      <c r="F66" s="227"/>
      <c r="G66" s="227"/>
      <c r="H66" s="226"/>
    </row>
    <row r="67" spans="1:8">
      <c r="B67" s="426" t="s">
        <v>1</v>
      </c>
      <c r="C67" s="426"/>
      <c r="D67" s="426"/>
      <c r="E67" s="426"/>
      <c r="F67" s="426"/>
      <c r="G67" s="221">
        <f>G59+G47+G32+G65</f>
        <v>3073040</v>
      </c>
      <c r="H67" s="221">
        <f>H47+H21+H59+H65</f>
        <v>36.5</v>
      </c>
    </row>
    <row r="68" spans="1:8">
      <c r="B68" s="19"/>
      <c r="G68" s="18"/>
    </row>
    <row r="69" spans="1:8">
      <c r="B69" s="420" t="s">
        <v>392</v>
      </c>
      <c r="C69" s="420"/>
      <c r="D69" s="420"/>
      <c r="E69" s="420"/>
      <c r="F69" s="420"/>
      <c r="G69" s="420"/>
      <c r="H69" s="420"/>
    </row>
    <row r="70" spans="1:8">
      <c r="B70" s="19"/>
      <c r="G70" s="18"/>
    </row>
    <row r="73" spans="1:8" ht="18.75">
      <c r="A73">
        <v>2.2999999999999998</v>
      </c>
      <c r="B73" s="419" t="s">
        <v>353</v>
      </c>
      <c r="C73" s="419"/>
      <c r="D73" s="419"/>
      <c r="E73" s="419"/>
      <c r="F73" s="419"/>
    </row>
    <row r="75" spans="1:8" ht="30">
      <c r="B75" s="22" t="s">
        <v>144</v>
      </c>
      <c r="C75" s="55" t="s">
        <v>127</v>
      </c>
      <c r="D75" s="55" t="s">
        <v>150</v>
      </c>
      <c r="E75" s="55" t="s">
        <v>151</v>
      </c>
      <c r="F75" s="55" t="s">
        <v>157</v>
      </c>
    </row>
    <row r="76" spans="1:8">
      <c r="B76" s="235">
        <v>1</v>
      </c>
      <c r="C76" s="257" t="s">
        <v>660</v>
      </c>
      <c r="D76" s="235">
        <v>2</v>
      </c>
      <c r="E76" s="236">
        <v>10640</v>
      </c>
      <c r="F76" s="237">
        <f>D76*E76</f>
        <v>21280</v>
      </c>
      <c r="G76" s="21">
        <f>F76*60%</f>
        <v>12768</v>
      </c>
    </row>
    <row r="77" spans="1:8">
      <c r="B77" s="235">
        <v>2</v>
      </c>
      <c r="C77" s="257"/>
      <c r="D77" s="235"/>
      <c r="E77" s="236"/>
      <c r="F77" s="237"/>
    </row>
    <row r="78" spans="1:8">
      <c r="B78" s="235"/>
      <c r="C78" s="257"/>
      <c r="D78" s="235"/>
      <c r="E78" s="236"/>
      <c r="F78" s="237"/>
    </row>
    <row r="79" spans="1:8">
      <c r="B79" s="235"/>
      <c r="C79" s="257"/>
      <c r="D79" s="235"/>
      <c r="E79" s="236"/>
      <c r="F79" s="237"/>
    </row>
    <row r="80" spans="1:8">
      <c r="B80" s="235"/>
      <c r="C80" s="257"/>
      <c r="D80" s="235"/>
      <c r="E80" s="236"/>
      <c r="F80" s="237">
        <f t="shared" ref="F80:F81" si="8">D80*E80</f>
        <v>0</v>
      </c>
    </row>
    <row r="81" spans="1:7">
      <c r="B81" s="235"/>
      <c r="C81" s="257"/>
      <c r="D81" s="235"/>
      <c r="E81" s="236"/>
      <c r="F81" s="237">
        <f t="shared" si="8"/>
        <v>0</v>
      </c>
    </row>
    <row r="82" spans="1:7">
      <c r="B82" s="428" t="s">
        <v>1</v>
      </c>
      <c r="C82" s="428"/>
      <c r="D82" s="428"/>
      <c r="E82" s="428"/>
      <c r="F82" s="20">
        <f>SUM(F76:F81)</f>
        <v>21280</v>
      </c>
    </row>
    <row r="84" spans="1:7">
      <c r="A84" s="420" t="s">
        <v>393</v>
      </c>
      <c r="B84" s="420"/>
      <c r="C84" s="420"/>
      <c r="D84" s="420"/>
      <c r="E84" s="420"/>
      <c r="F84" s="420"/>
      <c r="G84" s="420"/>
    </row>
    <row r="87" spans="1:7" ht="18.75">
      <c r="A87">
        <v>2.4</v>
      </c>
      <c r="B87" s="419" t="s">
        <v>352</v>
      </c>
      <c r="C87" s="419"/>
      <c r="D87" s="419"/>
      <c r="E87" s="419"/>
      <c r="F87" s="419"/>
    </row>
    <row r="89" spans="1:7" ht="30">
      <c r="B89" s="22" t="s">
        <v>144</v>
      </c>
      <c r="C89" s="59" t="s">
        <v>127</v>
      </c>
      <c r="D89" s="59" t="s">
        <v>150</v>
      </c>
      <c r="E89" s="59" t="s">
        <v>151</v>
      </c>
      <c r="F89" s="59" t="s">
        <v>157</v>
      </c>
    </row>
    <row r="90" spans="1:7">
      <c r="B90" s="235">
        <v>1</v>
      </c>
      <c r="C90" s="257" t="s">
        <v>657</v>
      </c>
      <c r="D90" s="235"/>
      <c r="E90" s="236"/>
      <c r="F90" s="237">
        <v>48500</v>
      </c>
      <c r="G90" s="21">
        <f>F90*60%</f>
        <v>29100</v>
      </c>
    </row>
    <row r="91" spans="1:7">
      <c r="B91" s="235">
        <v>2</v>
      </c>
      <c r="C91" s="257" t="s">
        <v>647</v>
      </c>
      <c r="D91" s="235"/>
      <c r="E91" s="236">
        <v>0</v>
      </c>
      <c r="F91" s="237">
        <v>21999</v>
      </c>
      <c r="G91" s="393">
        <f>F91*60%</f>
        <v>13199.4</v>
      </c>
    </row>
    <row r="92" spans="1:7">
      <c r="B92" s="235">
        <v>3</v>
      </c>
      <c r="C92" s="257"/>
      <c r="D92" s="235"/>
      <c r="E92" s="236"/>
      <c r="F92" s="237"/>
    </row>
    <row r="93" spans="1:7">
      <c r="B93" s="235"/>
      <c r="C93" s="257"/>
      <c r="D93" s="235"/>
      <c r="E93" s="236"/>
      <c r="F93" s="237"/>
    </row>
    <row r="94" spans="1:7">
      <c r="B94" s="235"/>
      <c r="C94" s="257"/>
      <c r="D94" s="235"/>
      <c r="E94" s="236"/>
      <c r="F94" s="237">
        <f t="shared" ref="F94:F95" si="9">D94*E94</f>
        <v>0</v>
      </c>
    </row>
    <row r="95" spans="1:7">
      <c r="B95" s="235"/>
      <c r="C95" s="257"/>
      <c r="D95" s="235"/>
      <c r="E95" s="236"/>
      <c r="F95" s="237">
        <f t="shared" si="9"/>
        <v>0</v>
      </c>
    </row>
    <row r="96" spans="1:7">
      <c r="B96" s="428" t="s">
        <v>1</v>
      </c>
      <c r="C96" s="428"/>
      <c r="D96" s="428"/>
      <c r="E96" s="428"/>
      <c r="F96" s="20">
        <f>SUM(F90:F95)</f>
        <v>70499</v>
      </c>
    </row>
    <row r="98" spans="1:7">
      <c r="A98" s="420" t="s">
        <v>393</v>
      </c>
      <c r="B98" s="420"/>
      <c r="C98" s="420"/>
      <c r="D98" s="420"/>
      <c r="E98" s="420"/>
      <c r="F98" s="420"/>
      <c r="G98" s="420"/>
    </row>
    <row r="101" spans="1:7" ht="18.75">
      <c r="A101">
        <v>2.5</v>
      </c>
      <c r="B101" s="419" t="s">
        <v>576</v>
      </c>
      <c r="C101" s="419"/>
      <c r="D101" s="419"/>
      <c r="E101" s="419"/>
      <c r="F101" s="419"/>
    </row>
    <row r="103" spans="1:7" ht="28.5">
      <c r="B103" s="207" t="s">
        <v>144</v>
      </c>
      <c r="C103" s="208" t="s">
        <v>127</v>
      </c>
      <c r="D103" s="208" t="s">
        <v>150</v>
      </c>
      <c r="E103" s="208" t="s">
        <v>151</v>
      </c>
      <c r="F103" s="208" t="s">
        <v>157</v>
      </c>
    </row>
    <row r="104" spans="1:7">
      <c r="B104" s="233"/>
      <c r="C104" s="234"/>
      <c r="D104" s="233"/>
      <c r="E104" s="238"/>
      <c r="F104" s="227"/>
    </row>
    <row r="105" spans="1:7">
      <c r="B105" s="233"/>
      <c r="C105" s="234"/>
      <c r="D105" s="233"/>
      <c r="E105" s="238"/>
      <c r="F105" s="227">
        <f>E105*D105</f>
        <v>0</v>
      </c>
    </row>
    <row r="106" spans="1:7">
      <c r="B106" s="233"/>
      <c r="C106" s="234"/>
      <c r="D106" s="233"/>
      <c r="E106" s="238"/>
      <c r="F106" s="227">
        <f>E106*D106</f>
        <v>0</v>
      </c>
    </row>
    <row r="107" spans="1:7">
      <c r="B107" s="426" t="s">
        <v>1</v>
      </c>
      <c r="C107" s="426"/>
      <c r="D107" s="426"/>
      <c r="E107" s="426"/>
      <c r="F107" s="210">
        <f>SUM(F104:F106)</f>
        <v>0</v>
      </c>
    </row>
    <row r="108" spans="1:7">
      <c r="A108" s="427" t="s">
        <v>407</v>
      </c>
      <c r="B108" s="427"/>
      <c r="C108" s="427"/>
      <c r="D108" s="427"/>
      <c r="E108" s="427"/>
      <c r="F108" s="427"/>
      <c r="G108" s="427"/>
    </row>
    <row r="111" spans="1:7" ht="18.75">
      <c r="A111">
        <v>2.6</v>
      </c>
      <c r="B111" s="419" t="s">
        <v>243</v>
      </c>
      <c r="C111" s="419"/>
      <c r="D111" s="419"/>
    </row>
    <row r="112" spans="1:7" ht="15.75" thickBot="1"/>
    <row r="113" spans="1:5" ht="29.25" thickBot="1">
      <c r="B113" s="219" t="s">
        <v>144</v>
      </c>
      <c r="C113" s="220" t="s">
        <v>127</v>
      </c>
      <c r="D113" s="220" t="s">
        <v>351</v>
      </c>
    </row>
    <row r="114" spans="1:5" ht="15.75" thickBot="1">
      <c r="B114" s="258">
        <v>1</v>
      </c>
      <c r="C114" s="259" t="s">
        <v>632</v>
      </c>
      <c r="D114" s="239">
        <v>72000</v>
      </c>
      <c r="E114" s="21">
        <f>D114*60%</f>
        <v>43200</v>
      </c>
    </row>
    <row r="115" spans="1:5" ht="15.75" thickBot="1">
      <c r="B115" s="258">
        <v>2</v>
      </c>
      <c r="C115" s="259" t="s">
        <v>631</v>
      </c>
      <c r="D115" s="239">
        <v>35000</v>
      </c>
      <c r="E115" s="21">
        <f>D115*60%</f>
        <v>21000</v>
      </c>
    </row>
    <row r="116" spans="1:5" ht="15.75" thickBot="1">
      <c r="B116" s="258">
        <v>3</v>
      </c>
      <c r="C116" s="259"/>
      <c r="D116" s="239"/>
    </row>
    <row r="117" spans="1:5" ht="15.75" thickBot="1">
      <c r="B117" s="258"/>
      <c r="C117" s="259"/>
      <c r="D117" s="239"/>
    </row>
    <row r="118" spans="1:5" ht="15.75" thickBot="1">
      <c r="B118" s="258"/>
      <c r="C118" s="259"/>
      <c r="D118" s="239"/>
    </row>
    <row r="119" spans="1:5" ht="15.75" thickBot="1">
      <c r="B119" s="422" t="s">
        <v>1</v>
      </c>
      <c r="C119" s="423"/>
      <c r="D119" s="240">
        <f>SUM(D114:D118)</f>
        <v>107000</v>
      </c>
    </row>
    <row r="121" spans="1:5" ht="26.1" customHeight="1">
      <c r="A121" s="424" t="s">
        <v>408</v>
      </c>
      <c r="B121" s="424"/>
      <c r="C121" s="424"/>
      <c r="D121" s="424"/>
      <c r="E121" s="424"/>
    </row>
  </sheetData>
  <mergeCells count="22">
    <mergeCell ref="B12:F12"/>
    <mergeCell ref="B2:G2"/>
    <mergeCell ref="B15:G15"/>
    <mergeCell ref="B69:H69"/>
    <mergeCell ref="B67:F67"/>
    <mergeCell ref="B17:H17"/>
    <mergeCell ref="B32:C32"/>
    <mergeCell ref="B47:C47"/>
    <mergeCell ref="B59:C59"/>
    <mergeCell ref="B119:C119"/>
    <mergeCell ref="A121:E121"/>
    <mergeCell ref="B65:C65"/>
    <mergeCell ref="A98:G98"/>
    <mergeCell ref="B107:E107"/>
    <mergeCell ref="B101:F101"/>
    <mergeCell ref="A108:G108"/>
    <mergeCell ref="B111:D111"/>
    <mergeCell ref="B82:E82"/>
    <mergeCell ref="B73:F73"/>
    <mergeCell ref="A84:G84"/>
    <mergeCell ref="B96:E96"/>
    <mergeCell ref="B87:F87"/>
  </mergeCells>
  <pageMargins left="0.7" right="0.7" top="0.75" bottom="0.75" header="0.3" footer="0.3"/>
  <pageSetup scale="70" orientation="portrait" r:id="rId1"/>
  <rowBreaks count="1" manualBreakCount="1">
    <brk id="7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D58" zoomScale="95" zoomScaleSheetLayoutView="95" workbookViewId="0">
      <selection activeCell="I74" sqref="I74"/>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1.5703125" bestFit="1" customWidth="1"/>
  </cols>
  <sheetData>
    <row r="2" spans="1:12" ht="18.75">
      <c r="A2" s="417" t="s">
        <v>501</v>
      </c>
      <c r="B2" s="417"/>
      <c r="C2" s="417"/>
      <c r="D2" s="417"/>
      <c r="E2" s="417"/>
      <c r="F2" s="417"/>
      <c r="G2" s="417"/>
      <c r="H2" s="417"/>
      <c r="I2" s="417"/>
      <c r="J2" s="417"/>
      <c r="K2" s="417"/>
    </row>
    <row r="4" spans="1:12">
      <c r="A4" s="92"/>
      <c r="B4" s="92"/>
      <c r="C4" s="92"/>
      <c r="D4" s="92"/>
      <c r="E4" s="177">
        <v>1</v>
      </c>
      <c r="F4" s="182">
        <f>(E4*5%)+E4</f>
        <v>1.05</v>
      </c>
      <c r="G4" s="182">
        <f t="shared" ref="G4:K4" si="0">(F4*5%)+F4</f>
        <v>1.1025</v>
      </c>
      <c r="H4" s="182">
        <f t="shared" si="0"/>
        <v>1.1576250000000001</v>
      </c>
      <c r="I4" s="182">
        <f t="shared" si="0"/>
        <v>1.2155062500000002</v>
      </c>
      <c r="J4" s="182">
        <f t="shared" si="0"/>
        <v>1.2762815625000004</v>
      </c>
      <c r="K4" s="182">
        <f t="shared" si="0"/>
        <v>1.3400956406250004</v>
      </c>
    </row>
    <row r="5" spans="1:12">
      <c r="A5" s="92"/>
      <c r="B5" s="92"/>
      <c r="C5" s="92"/>
      <c r="D5" s="92"/>
      <c r="E5" s="92"/>
      <c r="F5" s="92"/>
      <c r="G5" s="92"/>
      <c r="H5" s="92"/>
      <c r="I5" s="92"/>
      <c r="J5" s="92"/>
      <c r="K5" s="92"/>
    </row>
    <row r="6" spans="1:12">
      <c r="A6" s="146" t="s">
        <v>0</v>
      </c>
      <c r="B6" s="146" t="s">
        <v>132</v>
      </c>
      <c r="C6" s="146" t="s">
        <v>369</v>
      </c>
      <c r="D6" s="146" t="s">
        <v>275</v>
      </c>
      <c r="E6" s="118" t="s">
        <v>2</v>
      </c>
      <c r="F6" s="118" t="s">
        <v>3</v>
      </c>
      <c r="G6" s="118" t="s">
        <v>4</v>
      </c>
      <c r="H6" s="118" t="s">
        <v>5</v>
      </c>
      <c r="I6" s="118" t="s">
        <v>6</v>
      </c>
      <c r="J6" s="118" t="s">
        <v>168</v>
      </c>
      <c r="K6" s="118" t="s">
        <v>167</v>
      </c>
    </row>
    <row r="7" spans="1:12">
      <c r="A7" s="93"/>
      <c r="B7" s="93"/>
      <c r="C7" s="93"/>
      <c r="D7" s="93"/>
      <c r="E7" s="93"/>
      <c r="F7" s="93"/>
      <c r="G7" s="93"/>
      <c r="H7" s="93"/>
      <c r="I7" s="93"/>
      <c r="J7" s="93"/>
      <c r="K7" s="93"/>
    </row>
    <row r="8" spans="1:12">
      <c r="A8" s="93" t="s">
        <v>306</v>
      </c>
      <c r="B8" s="93" t="s">
        <v>370</v>
      </c>
      <c r="C8" s="226">
        <v>1</v>
      </c>
      <c r="D8" s="250">
        <v>15000</v>
      </c>
      <c r="E8" s="94">
        <f>$C8*$D8*12*E$4</f>
        <v>180000</v>
      </c>
      <c r="F8" s="94">
        <f t="shared" ref="F8:K8" si="1">$C8*$D8*12*F$4</f>
        <v>189000</v>
      </c>
      <c r="G8" s="94">
        <f t="shared" si="1"/>
        <v>198450</v>
      </c>
      <c r="H8" s="94">
        <f t="shared" si="1"/>
        <v>208372.50000000003</v>
      </c>
      <c r="I8" s="94">
        <f t="shared" si="1"/>
        <v>218791.12500000003</v>
      </c>
      <c r="J8" s="94">
        <f t="shared" si="1"/>
        <v>229730.68125000005</v>
      </c>
      <c r="K8" s="94">
        <f t="shared" si="1"/>
        <v>241217.21531250008</v>
      </c>
    </row>
    <row r="9" spans="1:12">
      <c r="A9" s="93" t="s">
        <v>177</v>
      </c>
      <c r="B9" s="93" t="s">
        <v>370</v>
      </c>
      <c r="C9" s="226">
        <v>1</v>
      </c>
      <c r="D9" s="250">
        <v>10000</v>
      </c>
      <c r="E9" s="94">
        <f>$C9*$D9*12*E$4</f>
        <v>120000</v>
      </c>
      <c r="F9" s="94">
        <f t="shared" ref="F9:K10" si="2">$C9*$D9*12*F$4</f>
        <v>126000</v>
      </c>
      <c r="G9" s="94">
        <f t="shared" si="2"/>
        <v>132300</v>
      </c>
      <c r="H9" s="94">
        <f t="shared" si="2"/>
        <v>138915.00000000003</v>
      </c>
      <c r="I9" s="94">
        <f t="shared" si="2"/>
        <v>145860.75000000003</v>
      </c>
      <c r="J9" s="94">
        <f t="shared" si="2"/>
        <v>153153.78750000003</v>
      </c>
      <c r="K9" s="94">
        <f t="shared" si="2"/>
        <v>160811.47687500005</v>
      </c>
    </row>
    <row r="10" spans="1:12">
      <c r="A10" s="93" t="s">
        <v>181</v>
      </c>
      <c r="B10" s="93" t="s">
        <v>370</v>
      </c>
      <c r="C10" s="226">
        <v>1</v>
      </c>
      <c r="D10" s="250">
        <v>7000</v>
      </c>
      <c r="E10" s="94">
        <f>$C10*$D10*12*E$4</f>
        <v>84000</v>
      </c>
      <c r="F10" s="94">
        <f t="shared" si="2"/>
        <v>88200</v>
      </c>
      <c r="G10" s="94">
        <f t="shared" si="2"/>
        <v>92610</v>
      </c>
      <c r="H10" s="94">
        <f t="shared" si="2"/>
        <v>97240.500000000015</v>
      </c>
      <c r="I10" s="94">
        <f t="shared" si="2"/>
        <v>102102.52500000002</v>
      </c>
      <c r="J10" s="94">
        <f t="shared" si="2"/>
        <v>107207.65125000002</v>
      </c>
      <c r="K10" s="94">
        <f t="shared" si="2"/>
        <v>112568.03381250004</v>
      </c>
    </row>
    <row r="11" spans="1:12">
      <c r="A11" s="93" t="s">
        <v>130</v>
      </c>
      <c r="B11" s="93" t="s">
        <v>371</v>
      </c>
      <c r="C11" s="93">
        <v>12</v>
      </c>
      <c r="D11" s="250">
        <v>4800</v>
      </c>
      <c r="E11" s="94">
        <f>$C11*$D11*E$4</f>
        <v>57600</v>
      </c>
      <c r="F11" s="94">
        <f t="shared" ref="F11:K15" si="3">$C11*$D11*F$4</f>
        <v>60480</v>
      </c>
      <c r="G11" s="94">
        <f t="shared" si="3"/>
        <v>63504</v>
      </c>
      <c r="H11" s="94">
        <f t="shared" si="3"/>
        <v>66679.200000000012</v>
      </c>
      <c r="I11" s="94">
        <f t="shared" si="3"/>
        <v>70013.160000000018</v>
      </c>
      <c r="J11" s="94">
        <f t="shared" si="3"/>
        <v>73513.818000000014</v>
      </c>
      <c r="K11" s="94">
        <f t="shared" si="3"/>
        <v>77189.50890000003</v>
      </c>
      <c r="L11" s="65"/>
    </row>
    <row r="12" spans="1:12">
      <c r="A12" s="93" t="s">
        <v>10</v>
      </c>
      <c r="B12" s="93" t="s">
        <v>371</v>
      </c>
      <c r="C12" s="93">
        <v>12</v>
      </c>
      <c r="D12" s="250">
        <v>2021</v>
      </c>
      <c r="E12" s="94">
        <f t="shared" ref="E12:E15" si="4">$C12*$D12*E$4</f>
        <v>24252</v>
      </c>
      <c r="F12" s="94">
        <f t="shared" si="3"/>
        <v>25464.600000000002</v>
      </c>
      <c r="G12" s="94">
        <f t="shared" si="3"/>
        <v>26737.83</v>
      </c>
      <c r="H12" s="94">
        <f t="shared" si="3"/>
        <v>28074.721500000003</v>
      </c>
      <c r="I12" s="94">
        <f t="shared" si="3"/>
        <v>29478.457575000004</v>
      </c>
      <c r="J12" s="94">
        <f t="shared" si="3"/>
        <v>30952.380453750007</v>
      </c>
      <c r="K12" s="94">
        <f t="shared" si="3"/>
        <v>32499.999476437511</v>
      </c>
    </row>
    <row r="13" spans="1:12">
      <c r="A13" s="93" t="s">
        <v>178</v>
      </c>
      <c r="B13" s="93" t="s">
        <v>371</v>
      </c>
      <c r="C13" s="93">
        <v>12</v>
      </c>
      <c r="D13" s="250">
        <v>1500</v>
      </c>
      <c r="E13" s="94">
        <f t="shared" si="4"/>
        <v>18000</v>
      </c>
      <c r="F13" s="94">
        <f t="shared" si="3"/>
        <v>18900</v>
      </c>
      <c r="G13" s="94">
        <f t="shared" si="3"/>
        <v>19845</v>
      </c>
      <c r="H13" s="94">
        <f t="shared" si="3"/>
        <v>20837.250000000004</v>
      </c>
      <c r="I13" s="94">
        <f t="shared" si="3"/>
        <v>21879.112500000003</v>
      </c>
      <c r="J13" s="94">
        <f t="shared" si="3"/>
        <v>22973.068125000005</v>
      </c>
      <c r="K13" s="94">
        <f t="shared" si="3"/>
        <v>24121.721531250008</v>
      </c>
    </row>
    <row r="14" spans="1:12">
      <c r="A14" s="93" t="s">
        <v>159</v>
      </c>
      <c r="B14" s="93" t="s">
        <v>371</v>
      </c>
      <c r="C14" s="93">
        <v>12</v>
      </c>
      <c r="D14" s="250">
        <v>500</v>
      </c>
      <c r="E14" s="94">
        <f t="shared" si="4"/>
        <v>6000</v>
      </c>
      <c r="F14" s="94">
        <f t="shared" si="3"/>
        <v>6300</v>
      </c>
      <c r="G14" s="94">
        <f t="shared" si="3"/>
        <v>6615</v>
      </c>
      <c r="H14" s="94">
        <f t="shared" si="3"/>
        <v>6945.7500000000009</v>
      </c>
      <c r="I14" s="94">
        <f t="shared" si="3"/>
        <v>7293.0375000000013</v>
      </c>
      <c r="J14" s="94">
        <f t="shared" si="3"/>
        <v>7657.6893750000017</v>
      </c>
      <c r="K14" s="94">
        <f t="shared" si="3"/>
        <v>8040.5738437500022</v>
      </c>
    </row>
    <row r="15" spans="1:12">
      <c r="A15" s="93" t="s">
        <v>179</v>
      </c>
      <c r="B15" s="93" t="s">
        <v>371</v>
      </c>
      <c r="C15" s="93">
        <v>12</v>
      </c>
      <c r="D15" s="250">
        <v>1067</v>
      </c>
      <c r="E15" s="94">
        <f t="shared" si="4"/>
        <v>12804</v>
      </c>
      <c r="F15" s="94">
        <f t="shared" si="3"/>
        <v>13444.2</v>
      </c>
      <c r="G15" s="94">
        <f t="shared" si="3"/>
        <v>14116.41</v>
      </c>
      <c r="H15" s="94">
        <f t="shared" si="3"/>
        <v>14822.230500000001</v>
      </c>
      <c r="I15" s="94">
        <f t="shared" si="3"/>
        <v>15563.342025000004</v>
      </c>
      <c r="J15" s="94">
        <f t="shared" si="3"/>
        <v>16341.509126250005</v>
      </c>
      <c r="K15" s="94">
        <f t="shared" si="3"/>
        <v>17158.584582562504</v>
      </c>
    </row>
    <row r="16" spans="1:12">
      <c r="A16" s="93" t="s">
        <v>180</v>
      </c>
      <c r="B16" s="93" t="s">
        <v>372</v>
      </c>
      <c r="C16" s="93">
        <v>1</v>
      </c>
      <c r="D16" s="250">
        <v>75000</v>
      </c>
      <c r="E16" s="94">
        <f>$D16*E$4*$C16</f>
        <v>75000</v>
      </c>
      <c r="F16" s="94">
        <f t="shared" ref="F16:K22" si="5">$D16*F$4*$C16</f>
        <v>78750</v>
      </c>
      <c r="G16" s="94">
        <f t="shared" si="5"/>
        <v>82687.5</v>
      </c>
      <c r="H16" s="94">
        <f t="shared" si="5"/>
        <v>86821.875000000015</v>
      </c>
      <c r="I16" s="94">
        <f t="shared" si="5"/>
        <v>91162.968750000015</v>
      </c>
      <c r="J16" s="94">
        <f t="shared" si="5"/>
        <v>95721.117187500029</v>
      </c>
      <c r="K16" s="94">
        <f t="shared" si="5"/>
        <v>100507.17304687503</v>
      </c>
      <c r="L16" s="28"/>
    </row>
    <row r="17" spans="1:17">
      <c r="A17" s="93"/>
      <c r="B17" s="93"/>
      <c r="C17" s="93"/>
      <c r="D17" s="250"/>
      <c r="E17" s="94">
        <f t="shared" ref="E17:E22" si="6">$D17*E$4*$C17</f>
        <v>0</v>
      </c>
      <c r="F17" s="94">
        <f t="shared" si="5"/>
        <v>0</v>
      </c>
      <c r="G17" s="94">
        <f t="shared" si="5"/>
        <v>0</v>
      </c>
      <c r="H17" s="94">
        <f t="shared" si="5"/>
        <v>0</v>
      </c>
      <c r="I17" s="94">
        <f t="shared" si="5"/>
        <v>0</v>
      </c>
      <c r="J17" s="94">
        <f t="shared" si="5"/>
        <v>0</v>
      </c>
      <c r="K17" s="94">
        <f t="shared" si="5"/>
        <v>0</v>
      </c>
    </row>
    <row r="18" spans="1:17">
      <c r="A18" s="93"/>
      <c r="B18" s="93"/>
      <c r="C18" s="93"/>
      <c r="D18" s="250"/>
      <c r="E18" s="94">
        <f t="shared" si="6"/>
        <v>0</v>
      </c>
      <c r="F18" s="94">
        <f t="shared" si="5"/>
        <v>0</v>
      </c>
      <c r="G18" s="94">
        <f t="shared" si="5"/>
        <v>0</v>
      </c>
      <c r="H18" s="94">
        <f t="shared" si="5"/>
        <v>0</v>
      </c>
      <c r="I18" s="94">
        <f t="shared" si="5"/>
        <v>0</v>
      </c>
      <c r="J18" s="94">
        <f t="shared" si="5"/>
        <v>0</v>
      </c>
      <c r="K18" s="94">
        <f t="shared" si="5"/>
        <v>0</v>
      </c>
    </row>
    <row r="19" spans="1:17">
      <c r="A19" s="93"/>
      <c r="B19" s="93"/>
      <c r="C19" s="93"/>
      <c r="D19" s="250"/>
      <c r="E19" s="94">
        <f t="shared" si="6"/>
        <v>0</v>
      </c>
      <c r="F19" s="94">
        <f t="shared" si="5"/>
        <v>0</v>
      </c>
      <c r="G19" s="94">
        <f t="shared" si="5"/>
        <v>0</v>
      </c>
      <c r="H19" s="94">
        <f t="shared" si="5"/>
        <v>0</v>
      </c>
      <c r="I19" s="94">
        <f t="shared" si="5"/>
        <v>0</v>
      </c>
      <c r="J19" s="94">
        <f t="shared" si="5"/>
        <v>0</v>
      </c>
      <c r="K19" s="94">
        <f t="shared" si="5"/>
        <v>0</v>
      </c>
    </row>
    <row r="20" spans="1:17">
      <c r="A20" s="93"/>
      <c r="B20" s="93"/>
      <c r="C20" s="93"/>
      <c r="D20" s="250"/>
      <c r="E20" s="94">
        <f t="shared" si="6"/>
        <v>0</v>
      </c>
      <c r="F20" s="94">
        <f t="shared" si="5"/>
        <v>0</v>
      </c>
      <c r="G20" s="94">
        <f t="shared" si="5"/>
        <v>0</v>
      </c>
      <c r="H20" s="94">
        <f t="shared" si="5"/>
        <v>0</v>
      </c>
      <c r="I20" s="94">
        <f t="shared" si="5"/>
        <v>0</v>
      </c>
      <c r="J20" s="94">
        <f t="shared" si="5"/>
        <v>0</v>
      </c>
      <c r="K20" s="94">
        <f t="shared" si="5"/>
        <v>0</v>
      </c>
    </row>
    <row r="21" spans="1:17">
      <c r="A21" s="93"/>
      <c r="B21" s="93"/>
      <c r="C21" s="93"/>
      <c r="D21" s="250"/>
      <c r="E21" s="94">
        <f t="shared" si="6"/>
        <v>0</v>
      </c>
      <c r="F21" s="94">
        <f t="shared" si="5"/>
        <v>0</v>
      </c>
      <c r="G21" s="94">
        <f t="shared" si="5"/>
        <v>0</v>
      </c>
      <c r="H21" s="94">
        <f t="shared" si="5"/>
        <v>0</v>
      </c>
      <c r="I21" s="94">
        <f t="shared" si="5"/>
        <v>0</v>
      </c>
      <c r="J21" s="94">
        <f t="shared" si="5"/>
        <v>0</v>
      </c>
      <c r="K21" s="94">
        <f t="shared" si="5"/>
        <v>0</v>
      </c>
    </row>
    <row r="22" spans="1:17">
      <c r="A22" s="93"/>
      <c r="B22" s="93"/>
      <c r="C22" s="93"/>
      <c r="D22" s="94"/>
      <c r="E22" s="94">
        <f t="shared" si="6"/>
        <v>0</v>
      </c>
      <c r="F22" s="94">
        <f t="shared" si="5"/>
        <v>0</v>
      </c>
      <c r="G22" s="94">
        <f t="shared" si="5"/>
        <v>0</v>
      </c>
      <c r="H22" s="94">
        <f t="shared" si="5"/>
        <v>0</v>
      </c>
      <c r="I22" s="94">
        <f t="shared" si="5"/>
        <v>0</v>
      </c>
      <c r="J22" s="94">
        <f t="shared" si="5"/>
        <v>0</v>
      </c>
      <c r="K22" s="94">
        <f t="shared" si="5"/>
        <v>0</v>
      </c>
    </row>
    <row r="23" spans="1:17">
      <c r="A23" s="95" t="s">
        <v>131</v>
      </c>
      <c r="B23" s="95"/>
      <c r="C23" s="95"/>
      <c r="D23" s="113"/>
      <c r="E23" s="113">
        <f>SUM(E8:E22)</f>
        <v>577656</v>
      </c>
      <c r="F23" s="113">
        <f t="shared" ref="F23:K23" si="7">SUM(F8:F22)</f>
        <v>606538.79999999993</v>
      </c>
      <c r="G23" s="113">
        <f t="shared" si="7"/>
        <v>636865.74000000011</v>
      </c>
      <c r="H23" s="113">
        <f t="shared" si="7"/>
        <v>668709.027</v>
      </c>
      <c r="I23" s="113">
        <f t="shared" si="7"/>
        <v>702144.47835000011</v>
      </c>
      <c r="J23" s="113">
        <f t="shared" si="7"/>
        <v>737251.70226750011</v>
      </c>
      <c r="K23" s="113">
        <f t="shared" si="7"/>
        <v>774114.28738087532</v>
      </c>
    </row>
    <row r="28" spans="1:17">
      <c r="A28" s="432"/>
      <c r="B28" s="432"/>
      <c r="C28" s="432"/>
      <c r="D28" s="432"/>
      <c r="E28" s="432"/>
      <c r="F28" s="432"/>
      <c r="G28" s="432"/>
      <c r="H28" s="432"/>
      <c r="I28" s="432"/>
      <c r="J28" s="432"/>
      <c r="K28" s="432"/>
      <c r="L28" s="432"/>
      <c r="M28" s="432"/>
      <c r="N28" s="432"/>
      <c r="O28" s="432"/>
    </row>
    <row r="29" spans="1:17" ht="18.75">
      <c r="A29" s="430" t="s">
        <v>502</v>
      </c>
      <c r="B29" s="430"/>
      <c r="C29" s="430"/>
      <c r="D29" s="430"/>
      <c r="E29" s="430"/>
      <c r="F29" s="430"/>
      <c r="G29" s="430"/>
      <c r="H29" s="430"/>
      <c r="I29" s="430"/>
      <c r="J29" s="396"/>
      <c r="K29" s="396"/>
      <c r="L29" s="396"/>
      <c r="M29" s="396"/>
      <c r="N29" s="396"/>
      <c r="O29" s="396"/>
      <c r="P29" s="396"/>
      <c r="Q29" s="396"/>
    </row>
    <row r="30" spans="1:17" s="13" customFormat="1">
      <c r="A30" s="147"/>
      <c r="B30" s="147"/>
      <c r="C30" s="147"/>
      <c r="D30" s="147"/>
      <c r="E30" s="147"/>
      <c r="F30" s="147"/>
      <c r="G30" s="147"/>
      <c r="H30" s="147"/>
      <c r="I30" s="147"/>
      <c r="J30" s="147"/>
      <c r="K30" s="147"/>
      <c r="L30" s="147"/>
      <c r="M30" s="147"/>
      <c r="N30" s="147"/>
      <c r="O30" s="147"/>
    </row>
    <row r="31" spans="1:17">
      <c r="A31" s="92"/>
      <c r="B31" s="92"/>
      <c r="C31" s="433" t="s">
        <v>182</v>
      </c>
      <c r="D31" s="433"/>
      <c r="E31" s="433"/>
      <c r="F31" s="433"/>
      <c r="G31" s="433"/>
      <c r="H31" s="433"/>
      <c r="I31" s="433"/>
      <c r="J31" s="92"/>
      <c r="K31" s="434" t="s">
        <v>183</v>
      </c>
      <c r="L31" s="434"/>
      <c r="M31" s="434"/>
      <c r="N31" s="434"/>
      <c r="O31" s="434"/>
      <c r="P31" s="434"/>
      <c r="Q31" s="434"/>
    </row>
    <row r="32" spans="1:17">
      <c r="A32" s="167" t="s">
        <v>0</v>
      </c>
      <c r="B32" s="160"/>
      <c r="C32" s="57" t="s">
        <v>2</v>
      </c>
      <c r="D32" s="57" t="s">
        <v>3</v>
      </c>
      <c r="E32" s="57" t="s">
        <v>4</v>
      </c>
      <c r="F32" s="57" t="s">
        <v>5</v>
      </c>
      <c r="G32" s="57" t="s">
        <v>6</v>
      </c>
      <c r="H32" s="57" t="s">
        <v>168</v>
      </c>
      <c r="I32" s="57" t="s">
        <v>167</v>
      </c>
      <c r="J32" s="168"/>
      <c r="K32" s="57" t="s">
        <v>2</v>
      </c>
      <c r="L32" s="57" t="s">
        <v>3</v>
      </c>
      <c r="M32" s="57" t="s">
        <v>4</v>
      </c>
      <c r="N32" s="57" t="s">
        <v>5</v>
      </c>
      <c r="O32" s="57" t="s">
        <v>6</v>
      </c>
      <c r="P32" s="57" t="s">
        <v>168</v>
      </c>
      <c r="Q32" s="57" t="s">
        <v>167</v>
      </c>
    </row>
    <row r="33" spans="1:17">
      <c r="A33" s="161" t="s">
        <v>184</v>
      </c>
      <c r="B33" s="97"/>
      <c r="C33" s="97"/>
      <c r="D33" s="97"/>
      <c r="E33" s="97"/>
      <c r="F33" s="97"/>
      <c r="G33" s="162"/>
      <c r="H33" s="162"/>
      <c r="I33" s="162"/>
      <c r="J33" s="97"/>
      <c r="K33" s="97"/>
      <c r="L33" s="97"/>
      <c r="M33" s="97"/>
      <c r="N33" s="97"/>
      <c r="O33" s="162"/>
      <c r="P33" s="162"/>
      <c r="Q33" s="162"/>
    </row>
    <row r="34" spans="1:17">
      <c r="A34" s="161"/>
      <c r="B34" s="97"/>
      <c r="C34" s="97"/>
      <c r="D34" s="97"/>
      <c r="E34" s="97"/>
      <c r="F34" s="97"/>
      <c r="G34" s="162"/>
      <c r="H34" s="162"/>
      <c r="I34" s="162"/>
      <c r="J34" s="97"/>
      <c r="K34" s="97"/>
      <c r="L34" s="97"/>
      <c r="M34" s="97"/>
      <c r="N34" s="97"/>
      <c r="O34" s="162"/>
      <c r="P34" s="162"/>
      <c r="Q34" s="162"/>
    </row>
    <row r="35" spans="1:17">
      <c r="A35" s="163"/>
      <c r="B35" s="163"/>
      <c r="C35" s="97"/>
      <c r="D35" s="97"/>
      <c r="E35" s="97"/>
      <c r="F35" s="97"/>
      <c r="G35" s="97"/>
      <c r="H35" s="97"/>
      <c r="I35" s="97"/>
      <c r="J35" s="97"/>
      <c r="K35" s="97"/>
      <c r="L35" s="97"/>
      <c r="M35" s="97"/>
      <c r="N35" s="97"/>
      <c r="O35" s="97"/>
      <c r="P35" s="97"/>
      <c r="Q35" s="97"/>
    </row>
    <row r="36" spans="1:17">
      <c r="A36" s="164" t="s">
        <v>188</v>
      </c>
      <c r="B36" s="164"/>
      <c r="C36" s="97"/>
      <c r="D36" s="97"/>
      <c r="E36" s="97"/>
      <c r="F36" s="97"/>
      <c r="G36" s="97"/>
      <c r="H36" s="97"/>
      <c r="I36" s="97"/>
      <c r="J36" s="97"/>
      <c r="K36" s="97"/>
      <c r="L36" s="97"/>
      <c r="M36" s="97"/>
      <c r="N36" s="97"/>
      <c r="O36" s="97"/>
      <c r="P36" s="97"/>
      <c r="Q36" s="97"/>
    </row>
    <row r="37" spans="1:17">
      <c r="A37" s="163" t="s">
        <v>185</v>
      </c>
      <c r="B37" s="163"/>
      <c r="C37" s="165">
        <f>'1.Project Cost and MOF'!D5</f>
        <v>1058475</v>
      </c>
      <c r="D37" s="165">
        <f t="shared" ref="D37:I37" si="8">C40</f>
        <v>1024921.3425</v>
      </c>
      <c r="E37" s="165">
        <f t="shared" si="8"/>
        <v>991367.68500000006</v>
      </c>
      <c r="F37" s="165">
        <f t="shared" si="8"/>
        <v>957814.02750000008</v>
      </c>
      <c r="G37" s="165">
        <f t="shared" si="8"/>
        <v>924260.37000000011</v>
      </c>
      <c r="H37" s="165">
        <f t="shared" si="8"/>
        <v>890706.71250000014</v>
      </c>
      <c r="I37" s="165">
        <f t="shared" si="8"/>
        <v>857153.05500000017</v>
      </c>
      <c r="J37" s="97"/>
      <c r="K37" s="165">
        <f>C37</f>
        <v>1058475</v>
      </c>
      <c r="L37" s="165">
        <f t="shared" ref="L37:Q37" si="9">K40</f>
        <v>952627.5</v>
      </c>
      <c r="M37" s="165">
        <f t="shared" si="9"/>
        <v>857364.75</v>
      </c>
      <c r="N37" s="165">
        <f t="shared" si="9"/>
        <v>771628.27500000002</v>
      </c>
      <c r="O37" s="165">
        <f t="shared" si="9"/>
        <v>694465.44750000001</v>
      </c>
      <c r="P37" s="165">
        <f t="shared" si="9"/>
        <v>625018.90275000001</v>
      </c>
      <c r="Q37" s="165">
        <f t="shared" si="9"/>
        <v>562517.012475</v>
      </c>
    </row>
    <row r="38" spans="1:17">
      <c r="A38" s="163" t="s">
        <v>17</v>
      </c>
      <c r="B38" s="163"/>
      <c r="C38" s="165">
        <f t="shared" ref="C38:I38" si="10">$C$37*$B$74</f>
        <v>33553.657500000001</v>
      </c>
      <c r="D38" s="165">
        <f t="shared" si="10"/>
        <v>33553.657500000001</v>
      </c>
      <c r="E38" s="165">
        <f t="shared" si="10"/>
        <v>33553.657500000001</v>
      </c>
      <c r="F38" s="165">
        <f t="shared" si="10"/>
        <v>33553.657500000001</v>
      </c>
      <c r="G38" s="165">
        <f t="shared" si="10"/>
        <v>33553.657500000001</v>
      </c>
      <c r="H38" s="165">
        <f t="shared" si="10"/>
        <v>33553.657500000001</v>
      </c>
      <c r="I38" s="165">
        <f t="shared" si="10"/>
        <v>33553.657500000001</v>
      </c>
      <c r="J38" s="97"/>
      <c r="K38" s="165">
        <f t="shared" ref="K38:Q38" si="11">K37*$C$74</f>
        <v>105847.5</v>
      </c>
      <c r="L38" s="165">
        <f t="shared" si="11"/>
        <v>95262.75</v>
      </c>
      <c r="M38" s="165">
        <f t="shared" si="11"/>
        <v>85736.475000000006</v>
      </c>
      <c r="N38" s="165">
        <f t="shared" si="11"/>
        <v>77162.827499999999</v>
      </c>
      <c r="O38" s="165">
        <f t="shared" si="11"/>
        <v>69446.544750000001</v>
      </c>
      <c r="P38" s="165">
        <f t="shared" si="11"/>
        <v>62501.890275000005</v>
      </c>
      <c r="Q38" s="165">
        <f t="shared" si="11"/>
        <v>56251.701247500001</v>
      </c>
    </row>
    <row r="39" spans="1:17">
      <c r="A39" s="163" t="s">
        <v>186</v>
      </c>
      <c r="B39" s="163"/>
      <c r="C39" s="165">
        <f>C38</f>
        <v>33553.657500000001</v>
      </c>
      <c r="D39" s="165">
        <f t="shared" ref="D39:I39" si="12">C39+D38</f>
        <v>67107.315000000002</v>
      </c>
      <c r="E39" s="165">
        <f t="shared" si="12"/>
        <v>100660.9725</v>
      </c>
      <c r="F39" s="165">
        <f t="shared" si="12"/>
        <v>134214.63</v>
      </c>
      <c r="G39" s="165">
        <f t="shared" si="12"/>
        <v>167768.28750000001</v>
      </c>
      <c r="H39" s="165">
        <f t="shared" si="12"/>
        <v>201321.94500000001</v>
      </c>
      <c r="I39" s="165">
        <f t="shared" si="12"/>
        <v>234875.60250000001</v>
      </c>
      <c r="J39" s="97"/>
      <c r="K39" s="165">
        <f>K38</f>
        <v>105847.5</v>
      </c>
      <c r="L39" s="165">
        <f t="shared" ref="L39:Q39" si="13">K39+L38</f>
        <v>201110.25</v>
      </c>
      <c r="M39" s="165">
        <f t="shared" si="13"/>
        <v>286846.72499999998</v>
      </c>
      <c r="N39" s="165">
        <f t="shared" si="13"/>
        <v>364009.55249999999</v>
      </c>
      <c r="O39" s="165">
        <f t="shared" si="13"/>
        <v>433456.09724999999</v>
      </c>
      <c r="P39" s="165">
        <f t="shared" si="13"/>
        <v>495957.987525</v>
      </c>
      <c r="Q39" s="165">
        <f t="shared" si="13"/>
        <v>552209.68877250003</v>
      </c>
    </row>
    <row r="40" spans="1:17">
      <c r="A40" s="163" t="s">
        <v>187</v>
      </c>
      <c r="B40" s="163"/>
      <c r="C40" s="165">
        <f t="shared" ref="C40:I40" si="14">C37-C38</f>
        <v>1024921.3425</v>
      </c>
      <c r="D40" s="165">
        <f t="shared" si="14"/>
        <v>991367.68500000006</v>
      </c>
      <c r="E40" s="165">
        <f t="shared" si="14"/>
        <v>957814.02750000008</v>
      </c>
      <c r="F40" s="165">
        <f t="shared" si="14"/>
        <v>924260.37000000011</v>
      </c>
      <c r="G40" s="165">
        <f t="shared" si="14"/>
        <v>890706.71250000014</v>
      </c>
      <c r="H40" s="165">
        <f t="shared" si="14"/>
        <v>857153.05500000017</v>
      </c>
      <c r="I40" s="165">
        <f t="shared" si="14"/>
        <v>823599.3975000002</v>
      </c>
      <c r="J40" s="97"/>
      <c r="K40" s="165">
        <f t="shared" ref="K40:Q40" si="15">K37-K38</f>
        <v>952627.5</v>
      </c>
      <c r="L40" s="165">
        <f t="shared" si="15"/>
        <v>857364.75</v>
      </c>
      <c r="M40" s="165">
        <f t="shared" si="15"/>
        <v>771628.27500000002</v>
      </c>
      <c r="N40" s="165">
        <f t="shared" si="15"/>
        <v>694465.44750000001</v>
      </c>
      <c r="O40" s="165">
        <f t="shared" si="15"/>
        <v>625018.90275000001</v>
      </c>
      <c r="P40" s="165">
        <f t="shared" si="15"/>
        <v>562517.012475</v>
      </c>
      <c r="Q40" s="165">
        <f t="shared" si="15"/>
        <v>506265.31122749997</v>
      </c>
    </row>
    <row r="41" spans="1:17">
      <c r="A41" s="163"/>
      <c r="B41" s="163"/>
      <c r="C41" s="165"/>
      <c r="D41" s="165"/>
      <c r="E41" s="165"/>
      <c r="F41" s="165"/>
      <c r="G41" s="165"/>
      <c r="H41" s="165"/>
      <c r="I41" s="165"/>
      <c r="J41" s="97"/>
      <c r="K41" s="165"/>
      <c r="L41" s="165"/>
      <c r="M41" s="165"/>
      <c r="N41" s="165"/>
      <c r="O41" s="165"/>
      <c r="P41" s="165"/>
      <c r="Q41" s="165"/>
    </row>
    <row r="42" spans="1:17">
      <c r="A42" s="164" t="s">
        <v>189</v>
      </c>
      <c r="B42" s="164"/>
      <c r="C42" s="165"/>
      <c r="D42" s="165"/>
      <c r="E42" s="165"/>
      <c r="F42" s="165"/>
      <c r="G42" s="165"/>
      <c r="H42" s="165"/>
      <c r="I42" s="165"/>
      <c r="J42" s="97"/>
      <c r="K42" s="165"/>
      <c r="L42" s="165"/>
      <c r="M42" s="165"/>
      <c r="N42" s="165"/>
      <c r="O42" s="165"/>
      <c r="P42" s="165"/>
      <c r="Q42" s="165"/>
    </row>
    <row r="43" spans="1:17">
      <c r="A43" s="163" t="s">
        <v>185</v>
      </c>
      <c r="B43" s="163"/>
      <c r="C43" s="165">
        <f>'1.Project Cost and MOF'!D6</f>
        <v>3073040</v>
      </c>
      <c r="D43" s="165">
        <f t="shared" ref="D43:I43" si="16">C46</f>
        <v>2878516.568</v>
      </c>
      <c r="E43" s="165">
        <f t="shared" si="16"/>
        <v>2683993.1359999999</v>
      </c>
      <c r="F43" s="165">
        <f t="shared" si="16"/>
        <v>2489469.7039999999</v>
      </c>
      <c r="G43" s="165">
        <f t="shared" si="16"/>
        <v>2294946.2719999999</v>
      </c>
      <c r="H43" s="165">
        <f t="shared" si="16"/>
        <v>2100422.84</v>
      </c>
      <c r="I43" s="165">
        <f t="shared" si="16"/>
        <v>1905899.4079999998</v>
      </c>
      <c r="J43" s="97"/>
      <c r="K43" s="165">
        <f>C43</f>
        <v>3073040</v>
      </c>
      <c r="L43" s="165">
        <f t="shared" ref="L43:Q43" si="17">K46</f>
        <v>2612084</v>
      </c>
      <c r="M43" s="165">
        <f t="shared" si="17"/>
        <v>2220271.4</v>
      </c>
      <c r="N43" s="165">
        <f t="shared" si="17"/>
        <v>1887230.69</v>
      </c>
      <c r="O43" s="165">
        <f t="shared" si="17"/>
        <v>1604146.0865</v>
      </c>
      <c r="P43" s="165">
        <f t="shared" si="17"/>
        <v>1363524.173525</v>
      </c>
      <c r="Q43" s="165">
        <f t="shared" si="17"/>
        <v>1158995.5474962499</v>
      </c>
    </row>
    <row r="44" spans="1:17">
      <c r="A44" s="163" t="s">
        <v>17</v>
      </c>
      <c r="B44" s="163"/>
      <c r="C44" s="165">
        <f t="shared" ref="C44:I44" si="18">$C$43*$B$78</f>
        <v>194523.43199999997</v>
      </c>
      <c r="D44" s="165">
        <f t="shared" si="18"/>
        <v>194523.43199999997</v>
      </c>
      <c r="E44" s="165">
        <f t="shared" si="18"/>
        <v>194523.43199999997</v>
      </c>
      <c r="F44" s="165">
        <f t="shared" si="18"/>
        <v>194523.43199999997</v>
      </c>
      <c r="G44" s="165">
        <f t="shared" si="18"/>
        <v>194523.43199999997</v>
      </c>
      <c r="H44" s="165">
        <f t="shared" si="18"/>
        <v>194523.43199999997</v>
      </c>
      <c r="I44" s="165">
        <f t="shared" si="18"/>
        <v>194523.43199999997</v>
      </c>
      <c r="J44" s="97"/>
      <c r="K44" s="165">
        <f t="shared" ref="K44:Q44" si="19">K43*$C$78</f>
        <v>460956</v>
      </c>
      <c r="L44" s="165">
        <f t="shared" si="19"/>
        <v>391812.6</v>
      </c>
      <c r="M44" s="165">
        <f t="shared" si="19"/>
        <v>333040.70999999996</v>
      </c>
      <c r="N44" s="165">
        <f t="shared" si="19"/>
        <v>283084.60349999997</v>
      </c>
      <c r="O44" s="165">
        <f t="shared" si="19"/>
        <v>240621.91297499998</v>
      </c>
      <c r="P44" s="165">
        <f t="shared" si="19"/>
        <v>204528.62602875</v>
      </c>
      <c r="Q44" s="165">
        <f t="shared" si="19"/>
        <v>173849.33212443747</v>
      </c>
    </row>
    <row r="45" spans="1:17">
      <c r="A45" s="163" t="s">
        <v>186</v>
      </c>
      <c r="B45" s="163"/>
      <c r="C45" s="165">
        <f>C44</f>
        <v>194523.43199999997</v>
      </c>
      <c r="D45" s="165">
        <f t="shared" ref="D45:I45" si="20">C45+D44</f>
        <v>389046.86399999994</v>
      </c>
      <c r="E45" s="165">
        <f t="shared" si="20"/>
        <v>583570.29599999986</v>
      </c>
      <c r="F45" s="165">
        <f t="shared" si="20"/>
        <v>778093.72799999989</v>
      </c>
      <c r="G45" s="165">
        <f t="shared" si="20"/>
        <v>972617.15999999992</v>
      </c>
      <c r="H45" s="165">
        <f t="shared" si="20"/>
        <v>1167140.5919999999</v>
      </c>
      <c r="I45" s="165">
        <f t="shared" si="20"/>
        <v>1361664.024</v>
      </c>
      <c r="J45" s="97"/>
      <c r="K45" s="165">
        <f>K44</f>
        <v>460956</v>
      </c>
      <c r="L45" s="165">
        <f t="shared" ref="L45:Q45" si="21">K45+L44</f>
        <v>852768.6</v>
      </c>
      <c r="M45" s="165">
        <f t="shared" si="21"/>
        <v>1185809.31</v>
      </c>
      <c r="N45" s="165">
        <f t="shared" si="21"/>
        <v>1468893.9135</v>
      </c>
      <c r="O45" s="165">
        <f t="shared" si="21"/>
        <v>1709515.826475</v>
      </c>
      <c r="P45" s="165">
        <f t="shared" si="21"/>
        <v>1914044.4525037501</v>
      </c>
      <c r="Q45" s="165">
        <f t="shared" si="21"/>
        <v>2087893.7846281875</v>
      </c>
    </row>
    <row r="46" spans="1:17">
      <c r="A46" s="163" t="s">
        <v>187</v>
      </c>
      <c r="B46" s="163"/>
      <c r="C46" s="165">
        <f t="shared" ref="C46:I46" si="22">C43-C44</f>
        <v>2878516.568</v>
      </c>
      <c r="D46" s="165">
        <f t="shared" si="22"/>
        <v>2683993.1359999999</v>
      </c>
      <c r="E46" s="165">
        <f t="shared" si="22"/>
        <v>2489469.7039999999</v>
      </c>
      <c r="F46" s="165">
        <f t="shared" si="22"/>
        <v>2294946.2719999999</v>
      </c>
      <c r="G46" s="165">
        <f t="shared" si="22"/>
        <v>2100422.84</v>
      </c>
      <c r="H46" s="165">
        <f t="shared" si="22"/>
        <v>1905899.4079999998</v>
      </c>
      <c r="I46" s="165">
        <f t="shared" si="22"/>
        <v>1711375.9759999998</v>
      </c>
      <c r="J46" s="97"/>
      <c r="K46" s="165">
        <f t="shared" ref="K46:Q46" si="23">K43-K44</f>
        <v>2612084</v>
      </c>
      <c r="L46" s="165">
        <f t="shared" si="23"/>
        <v>2220271.4</v>
      </c>
      <c r="M46" s="165">
        <f t="shared" si="23"/>
        <v>1887230.69</v>
      </c>
      <c r="N46" s="165">
        <f t="shared" si="23"/>
        <v>1604146.0865</v>
      </c>
      <c r="O46" s="165">
        <f t="shared" si="23"/>
        <v>1363524.173525</v>
      </c>
      <c r="P46" s="165">
        <f t="shared" si="23"/>
        <v>1158995.5474962499</v>
      </c>
      <c r="Q46" s="165">
        <f t="shared" si="23"/>
        <v>985146.21537181246</v>
      </c>
    </row>
    <row r="47" spans="1:17">
      <c r="A47" s="163"/>
      <c r="B47" s="163"/>
      <c r="C47" s="165"/>
      <c r="D47" s="165"/>
      <c r="E47" s="165"/>
      <c r="F47" s="165"/>
      <c r="G47" s="165"/>
      <c r="H47" s="165"/>
      <c r="I47" s="165"/>
      <c r="J47" s="97"/>
      <c r="K47" s="165"/>
      <c r="L47" s="165"/>
      <c r="M47" s="165"/>
      <c r="N47" s="165"/>
      <c r="O47" s="165"/>
      <c r="P47" s="165"/>
      <c r="Q47" s="165"/>
    </row>
    <row r="48" spans="1:17">
      <c r="A48" s="164" t="s">
        <v>190</v>
      </c>
      <c r="B48" s="164"/>
      <c r="C48" s="165"/>
      <c r="D48" s="165"/>
      <c r="E48" s="165"/>
      <c r="F48" s="165"/>
      <c r="G48" s="165"/>
      <c r="H48" s="165"/>
      <c r="I48" s="165"/>
      <c r="J48" s="97"/>
      <c r="K48" s="165"/>
      <c r="L48" s="165"/>
      <c r="M48" s="165"/>
      <c r="N48" s="165"/>
      <c r="O48" s="165"/>
      <c r="P48" s="165"/>
      <c r="Q48" s="165"/>
    </row>
    <row r="49" spans="1:17">
      <c r="A49" s="163" t="s">
        <v>185</v>
      </c>
      <c r="B49" s="163"/>
      <c r="C49" s="165">
        <f>'1.Project Cost and MOF'!D7</f>
        <v>21280</v>
      </c>
      <c r="D49" s="165">
        <f t="shared" ref="D49:I49" si="24">C52</f>
        <v>19152</v>
      </c>
      <c r="E49" s="165">
        <f t="shared" si="24"/>
        <v>17024</v>
      </c>
      <c r="F49" s="165">
        <f t="shared" si="24"/>
        <v>14896</v>
      </c>
      <c r="G49" s="165">
        <f t="shared" si="24"/>
        <v>12768</v>
      </c>
      <c r="H49" s="165">
        <f t="shared" si="24"/>
        <v>10640</v>
      </c>
      <c r="I49" s="165">
        <f t="shared" si="24"/>
        <v>8512</v>
      </c>
      <c r="J49" s="97"/>
      <c r="K49" s="165">
        <f>C49</f>
        <v>21280</v>
      </c>
      <c r="L49" s="165">
        <f t="shared" ref="L49:Q49" si="25">K52</f>
        <v>19152</v>
      </c>
      <c r="M49" s="165">
        <f t="shared" si="25"/>
        <v>17236.8</v>
      </c>
      <c r="N49" s="165">
        <f t="shared" si="25"/>
        <v>15513.119999999999</v>
      </c>
      <c r="O49" s="165">
        <f t="shared" si="25"/>
        <v>13961.807999999999</v>
      </c>
      <c r="P49" s="165">
        <f t="shared" si="25"/>
        <v>12565.627199999999</v>
      </c>
      <c r="Q49" s="165">
        <f t="shared" si="25"/>
        <v>11309.064479999999</v>
      </c>
    </row>
    <row r="50" spans="1:17">
      <c r="A50" s="163" t="s">
        <v>17</v>
      </c>
      <c r="B50" s="163"/>
      <c r="C50" s="165">
        <f t="shared" ref="C50:I50" si="26">$C$49*$B$75</f>
        <v>2128</v>
      </c>
      <c r="D50" s="165">
        <f t="shared" si="26"/>
        <v>2128</v>
      </c>
      <c r="E50" s="165">
        <f t="shared" si="26"/>
        <v>2128</v>
      </c>
      <c r="F50" s="165">
        <f t="shared" si="26"/>
        <v>2128</v>
      </c>
      <c r="G50" s="165">
        <f t="shared" si="26"/>
        <v>2128</v>
      </c>
      <c r="H50" s="165">
        <f t="shared" si="26"/>
        <v>2128</v>
      </c>
      <c r="I50" s="165">
        <f t="shared" si="26"/>
        <v>2128</v>
      </c>
      <c r="J50" s="97"/>
      <c r="K50" s="165">
        <f t="shared" ref="K50:Q50" si="27">K49*$C$75</f>
        <v>2128</v>
      </c>
      <c r="L50" s="165">
        <f t="shared" si="27"/>
        <v>1915.2</v>
      </c>
      <c r="M50" s="165">
        <f t="shared" si="27"/>
        <v>1723.68</v>
      </c>
      <c r="N50" s="165">
        <f t="shared" si="27"/>
        <v>1551.3119999999999</v>
      </c>
      <c r="O50" s="165">
        <f t="shared" si="27"/>
        <v>1396.1808000000001</v>
      </c>
      <c r="P50" s="165">
        <f t="shared" si="27"/>
        <v>1256.5627199999999</v>
      </c>
      <c r="Q50" s="165">
        <f t="shared" si="27"/>
        <v>1130.906448</v>
      </c>
    </row>
    <row r="51" spans="1:17">
      <c r="A51" s="163" t="s">
        <v>186</v>
      </c>
      <c r="B51" s="163"/>
      <c r="C51" s="165">
        <f>C50</f>
        <v>2128</v>
      </c>
      <c r="D51" s="165">
        <f t="shared" ref="D51:I51" si="28">C51+D50</f>
        <v>4256</v>
      </c>
      <c r="E51" s="165">
        <f t="shared" si="28"/>
        <v>6384</v>
      </c>
      <c r="F51" s="165">
        <f t="shared" si="28"/>
        <v>8512</v>
      </c>
      <c r="G51" s="165">
        <f t="shared" si="28"/>
        <v>10640</v>
      </c>
      <c r="H51" s="165">
        <f t="shared" si="28"/>
        <v>12768</v>
      </c>
      <c r="I51" s="165">
        <f t="shared" si="28"/>
        <v>14896</v>
      </c>
      <c r="J51" s="97"/>
      <c r="K51" s="165">
        <f>K50</f>
        <v>2128</v>
      </c>
      <c r="L51" s="165">
        <f t="shared" ref="L51:Q51" si="29">K51+L50</f>
        <v>4043.2</v>
      </c>
      <c r="M51" s="165">
        <f t="shared" si="29"/>
        <v>5766.88</v>
      </c>
      <c r="N51" s="165">
        <f t="shared" si="29"/>
        <v>7318.192</v>
      </c>
      <c r="O51" s="165">
        <f t="shared" si="29"/>
        <v>8714.372800000001</v>
      </c>
      <c r="P51" s="165">
        <f t="shared" si="29"/>
        <v>9970.9355200000009</v>
      </c>
      <c r="Q51" s="165">
        <f t="shared" si="29"/>
        <v>11101.841968000001</v>
      </c>
    </row>
    <row r="52" spans="1:17">
      <c r="A52" s="163" t="s">
        <v>187</v>
      </c>
      <c r="B52" s="163"/>
      <c r="C52" s="165">
        <f t="shared" ref="C52:I52" si="30">C49-C50</f>
        <v>19152</v>
      </c>
      <c r="D52" s="165">
        <f t="shared" si="30"/>
        <v>17024</v>
      </c>
      <c r="E52" s="165">
        <f t="shared" si="30"/>
        <v>14896</v>
      </c>
      <c r="F52" s="165">
        <f t="shared" si="30"/>
        <v>12768</v>
      </c>
      <c r="G52" s="165">
        <f t="shared" si="30"/>
        <v>10640</v>
      </c>
      <c r="H52" s="165">
        <f t="shared" si="30"/>
        <v>8512</v>
      </c>
      <c r="I52" s="165">
        <f t="shared" si="30"/>
        <v>6384</v>
      </c>
      <c r="J52" s="97"/>
      <c r="K52" s="165">
        <f t="shared" ref="K52:Q52" si="31">K49-K50</f>
        <v>19152</v>
      </c>
      <c r="L52" s="165">
        <f t="shared" si="31"/>
        <v>17236.8</v>
      </c>
      <c r="M52" s="165">
        <f t="shared" si="31"/>
        <v>15513.119999999999</v>
      </c>
      <c r="N52" s="165">
        <f t="shared" si="31"/>
        <v>13961.807999999999</v>
      </c>
      <c r="O52" s="165">
        <f t="shared" si="31"/>
        <v>12565.627199999999</v>
      </c>
      <c r="P52" s="165">
        <f t="shared" si="31"/>
        <v>11309.064479999999</v>
      </c>
      <c r="Q52" s="165">
        <f t="shared" si="31"/>
        <v>10178.158031999999</v>
      </c>
    </row>
    <row r="53" spans="1:17">
      <c r="A53" s="163"/>
      <c r="B53" s="163"/>
      <c r="C53" s="165"/>
      <c r="D53" s="165"/>
      <c r="E53" s="165"/>
      <c r="F53" s="165"/>
      <c r="G53" s="165"/>
      <c r="H53" s="165"/>
      <c r="I53" s="165"/>
      <c r="J53" s="97"/>
      <c r="K53" s="165"/>
      <c r="L53" s="165"/>
      <c r="M53" s="165"/>
      <c r="N53" s="165"/>
      <c r="O53" s="165"/>
      <c r="P53" s="165"/>
      <c r="Q53" s="165"/>
    </row>
    <row r="54" spans="1:17">
      <c r="A54" s="164" t="s">
        <v>158</v>
      </c>
      <c r="B54" s="164"/>
      <c r="C54" s="165"/>
      <c r="D54" s="165"/>
      <c r="E54" s="165"/>
      <c r="F54" s="165"/>
      <c r="G54" s="165"/>
      <c r="H54" s="165"/>
      <c r="I54" s="165"/>
      <c r="J54" s="97"/>
      <c r="K54" s="165"/>
      <c r="L54" s="165"/>
      <c r="M54" s="165"/>
      <c r="N54" s="165"/>
      <c r="O54" s="165"/>
      <c r="P54" s="165"/>
      <c r="Q54" s="165"/>
    </row>
    <row r="55" spans="1:17">
      <c r="A55" s="163" t="s">
        <v>185</v>
      </c>
      <c r="B55" s="163"/>
      <c r="C55" s="165">
        <f>'1.Project Cost and MOF'!D9</f>
        <v>0</v>
      </c>
      <c r="D55" s="165">
        <f t="shared" ref="D55:I55" si="32">C58</f>
        <v>0</v>
      </c>
      <c r="E55" s="165">
        <f t="shared" si="32"/>
        <v>0</v>
      </c>
      <c r="F55" s="165">
        <f t="shared" si="32"/>
        <v>0</v>
      </c>
      <c r="G55" s="165">
        <f t="shared" si="32"/>
        <v>0</v>
      </c>
      <c r="H55" s="165">
        <f t="shared" si="32"/>
        <v>0</v>
      </c>
      <c r="I55" s="165">
        <f t="shared" si="32"/>
        <v>0</v>
      </c>
      <c r="J55" s="97"/>
      <c r="K55" s="165">
        <f>C55</f>
        <v>0</v>
      </c>
      <c r="L55" s="165">
        <f t="shared" ref="L55:Q55" si="33">K58</f>
        <v>0</v>
      </c>
      <c r="M55" s="165">
        <f t="shared" si="33"/>
        <v>0</v>
      </c>
      <c r="N55" s="165">
        <f t="shared" si="33"/>
        <v>0</v>
      </c>
      <c r="O55" s="165">
        <f t="shared" si="33"/>
        <v>0</v>
      </c>
      <c r="P55" s="165">
        <f t="shared" si="33"/>
        <v>0</v>
      </c>
      <c r="Q55" s="165">
        <f t="shared" si="33"/>
        <v>0</v>
      </c>
    </row>
    <row r="56" spans="1:17">
      <c r="A56" s="163" t="s">
        <v>17</v>
      </c>
      <c r="B56" s="163"/>
      <c r="C56" s="165">
        <f t="shared" ref="C56:I56" si="34">$C$55*$B$77</f>
        <v>0</v>
      </c>
      <c r="D56" s="165">
        <f t="shared" si="34"/>
        <v>0</v>
      </c>
      <c r="E56" s="165">
        <f t="shared" si="34"/>
        <v>0</v>
      </c>
      <c r="F56" s="165">
        <f t="shared" si="34"/>
        <v>0</v>
      </c>
      <c r="G56" s="165">
        <f t="shared" si="34"/>
        <v>0</v>
      </c>
      <c r="H56" s="165">
        <f t="shared" si="34"/>
        <v>0</v>
      </c>
      <c r="I56" s="165">
        <f t="shared" si="34"/>
        <v>0</v>
      </c>
      <c r="J56" s="97"/>
      <c r="K56" s="165">
        <f t="shared" ref="K56:Q56" si="35">K55*$C$77</f>
        <v>0</v>
      </c>
      <c r="L56" s="165">
        <f t="shared" si="35"/>
        <v>0</v>
      </c>
      <c r="M56" s="165">
        <f t="shared" si="35"/>
        <v>0</v>
      </c>
      <c r="N56" s="165">
        <f t="shared" si="35"/>
        <v>0</v>
      </c>
      <c r="O56" s="165">
        <f t="shared" si="35"/>
        <v>0</v>
      </c>
      <c r="P56" s="165">
        <f t="shared" si="35"/>
        <v>0</v>
      </c>
      <c r="Q56" s="165">
        <f t="shared" si="35"/>
        <v>0</v>
      </c>
    </row>
    <row r="57" spans="1:17">
      <c r="A57" s="163" t="s">
        <v>186</v>
      </c>
      <c r="B57" s="163"/>
      <c r="C57" s="165">
        <f>C56</f>
        <v>0</v>
      </c>
      <c r="D57" s="165">
        <f t="shared" ref="D57:I57" si="36">C57+D56</f>
        <v>0</v>
      </c>
      <c r="E57" s="165">
        <f t="shared" si="36"/>
        <v>0</v>
      </c>
      <c r="F57" s="165">
        <f t="shared" si="36"/>
        <v>0</v>
      </c>
      <c r="G57" s="165">
        <f t="shared" si="36"/>
        <v>0</v>
      </c>
      <c r="H57" s="165">
        <f t="shared" si="36"/>
        <v>0</v>
      </c>
      <c r="I57" s="165">
        <f t="shared" si="36"/>
        <v>0</v>
      </c>
      <c r="J57" s="97"/>
      <c r="K57" s="165">
        <f>K56</f>
        <v>0</v>
      </c>
      <c r="L57" s="165">
        <f t="shared" ref="L57:Q57" si="37">K57+L56</f>
        <v>0</v>
      </c>
      <c r="M57" s="165">
        <f t="shared" si="37"/>
        <v>0</v>
      </c>
      <c r="N57" s="165">
        <f t="shared" si="37"/>
        <v>0</v>
      </c>
      <c r="O57" s="165">
        <f t="shared" si="37"/>
        <v>0</v>
      </c>
      <c r="P57" s="165">
        <f t="shared" si="37"/>
        <v>0</v>
      </c>
      <c r="Q57" s="165">
        <f t="shared" si="37"/>
        <v>0</v>
      </c>
    </row>
    <row r="58" spans="1:17">
      <c r="A58" s="163" t="s">
        <v>187</v>
      </c>
      <c r="B58" s="163"/>
      <c r="C58" s="165">
        <f t="shared" ref="C58:I58" si="38">C55-C56</f>
        <v>0</v>
      </c>
      <c r="D58" s="165">
        <f t="shared" si="38"/>
        <v>0</v>
      </c>
      <c r="E58" s="165">
        <f t="shared" si="38"/>
        <v>0</v>
      </c>
      <c r="F58" s="165">
        <f t="shared" si="38"/>
        <v>0</v>
      </c>
      <c r="G58" s="165">
        <f t="shared" si="38"/>
        <v>0</v>
      </c>
      <c r="H58" s="165">
        <f t="shared" si="38"/>
        <v>0</v>
      </c>
      <c r="I58" s="165">
        <f t="shared" si="38"/>
        <v>0</v>
      </c>
      <c r="J58" s="97"/>
      <c r="K58" s="165">
        <f t="shared" ref="K58:Q58" si="39">K55-K56</f>
        <v>0</v>
      </c>
      <c r="L58" s="165">
        <f t="shared" si="39"/>
        <v>0</v>
      </c>
      <c r="M58" s="165">
        <f t="shared" si="39"/>
        <v>0</v>
      </c>
      <c r="N58" s="165">
        <f t="shared" si="39"/>
        <v>0</v>
      </c>
      <c r="O58" s="165">
        <f t="shared" si="39"/>
        <v>0</v>
      </c>
      <c r="P58" s="165">
        <f t="shared" si="39"/>
        <v>0</v>
      </c>
      <c r="Q58" s="165">
        <f t="shared" si="39"/>
        <v>0</v>
      </c>
    </row>
    <row r="59" spans="1:17">
      <c r="A59" s="163"/>
      <c r="B59" s="163"/>
      <c r="C59" s="165"/>
      <c r="D59" s="165"/>
      <c r="E59" s="165"/>
      <c r="F59" s="165"/>
      <c r="G59" s="165"/>
      <c r="H59" s="165"/>
      <c r="I59" s="165"/>
      <c r="J59" s="97"/>
      <c r="K59" s="165"/>
      <c r="L59" s="165"/>
      <c r="M59" s="165"/>
      <c r="N59" s="165"/>
      <c r="O59" s="165"/>
      <c r="P59" s="165"/>
      <c r="Q59" s="165"/>
    </row>
    <row r="60" spans="1:17">
      <c r="A60" s="321" t="s">
        <v>308</v>
      </c>
      <c r="B60" s="163"/>
      <c r="C60" s="165"/>
      <c r="D60" s="165"/>
      <c r="E60" s="165"/>
      <c r="F60" s="165"/>
      <c r="G60" s="165"/>
      <c r="H60" s="165"/>
      <c r="I60" s="165"/>
      <c r="J60" s="97"/>
      <c r="K60" s="165"/>
      <c r="L60" s="165"/>
      <c r="M60" s="165"/>
      <c r="N60" s="165"/>
      <c r="O60" s="165"/>
      <c r="P60" s="165"/>
      <c r="Q60" s="165"/>
    </row>
    <row r="61" spans="1:17">
      <c r="A61" s="163" t="str">
        <f>A55</f>
        <v>Asset Value</v>
      </c>
      <c r="B61" s="163"/>
      <c r="C61" s="165">
        <f>'1.Project Cost and MOF'!D8</f>
        <v>70499</v>
      </c>
      <c r="D61" s="165">
        <f t="shared" ref="D61:I61" si="40">C64</f>
        <v>63449.1</v>
      </c>
      <c r="E61" s="165">
        <f t="shared" si="40"/>
        <v>56399.199999999997</v>
      </c>
      <c r="F61" s="165">
        <f t="shared" si="40"/>
        <v>49349.299999999996</v>
      </c>
      <c r="G61" s="165">
        <f t="shared" si="40"/>
        <v>42299.399999999994</v>
      </c>
      <c r="H61" s="165">
        <f t="shared" si="40"/>
        <v>35249.499999999993</v>
      </c>
      <c r="I61" s="165">
        <f t="shared" si="40"/>
        <v>28199.599999999991</v>
      </c>
      <c r="J61" s="97"/>
      <c r="K61" s="165">
        <f>C61</f>
        <v>70499</v>
      </c>
      <c r="L61" s="165">
        <f t="shared" ref="L61:Q61" si="41">K64</f>
        <v>42299.399999999994</v>
      </c>
      <c r="M61" s="165">
        <f t="shared" si="41"/>
        <v>25379.639999999996</v>
      </c>
      <c r="N61" s="165">
        <f t="shared" si="41"/>
        <v>15227.783999999996</v>
      </c>
      <c r="O61" s="165">
        <f t="shared" si="41"/>
        <v>9136.6703999999972</v>
      </c>
      <c r="P61" s="165">
        <f t="shared" si="41"/>
        <v>5482.002239999998</v>
      </c>
      <c r="Q61" s="165">
        <f t="shared" si="41"/>
        <v>3289.2013439999987</v>
      </c>
    </row>
    <row r="62" spans="1:17">
      <c r="A62" s="163" t="str">
        <f>A56</f>
        <v>Depreciation</v>
      </c>
      <c r="B62" s="163"/>
      <c r="C62" s="165">
        <f t="shared" ref="C62:I62" si="42">$C$61*$B$76</f>
        <v>7049.9000000000005</v>
      </c>
      <c r="D62" s="165">
        <f t="shared" si="42"/>
        <v>7049.9000000000005</v>
      </c>
      <c r="E62" s="165">
        <f t="shared" si="42"/>
        <v>7049.9000000000005</v>
      </c>
      <c r="F62" s="165">
        <f t="shared" si="42"/>
        <v>7049.9000000000005</v>
      </c>
      <c r="G62" s="165">
        <f t="shared" si="42"/>
        <v>7049.9000000000005</v>
      </c>
      <c r="H62" s="165">
        <f t="shared" si="42"/>
        <v>7049.9000000000005</v>
      </c>
      <c r="I62" s="165">
        <f t="shared" si="42"/>
        <v>7049.9000000000005</v>
      </c>
      <c r="J62" s="97"/>
      <c r="K62" s="165">
        <f t="shared" ref="K62:Q62" si="43">K61*$C$76</f>
        <v>28199.600000000002</v>
      </c>
      <c r="L62" s="165">
        <f t="shared" si="43"/>
        <v>16919.759999999998</v>
      </c>
      <c r="M62" s="165">
        <f t="shared" si="43"/>
        <v>10151.856</v>
      </c>
      <c r="N62" s="165">
        <f t="shared" si="43"/>
        <v>6091.1135999999988</v>
      </c>
      <c r="O62" s="165">
        <f t="shared" si="43"/>
        <v>3654.6681599999993</v>
      </c>
      <c r="P62" s="165">
        <f t="shared" si="43"/>
        <v>2192.8008959999993</v>
      </c>
      <c r="Q62" s="165">
        <f t="shared" si="43"/>
        <v>1315.6805375999995</v>
      </c>
    </row>
    <row r="63" spans="1:17">
      <c r="A63" s="163" t="str">
        <f>A57</f>
        <v>Accumulated Depreciation</v>
      </c>
      <c r="B63" s="163"/>
      <c r="C63" s="165">
        <f>C62</f>
        <v>7049.9000000000005</v>
      </c>
      <c r="D63" s="165">
        <f t="shared" ref="D63:I63" si="44">D62+C63</f>
        <v>14099.800000000001</v>
      </c>
      <c r="E63" s="165">
        <f t="shared" si="44"/>
        <v>21149.7</v>
      </c>
      <c r="F63" s="165">
        <f t="shared" si="44"/>
        <v>28199.600000000002</v>
      </c>
      <c r="G63" s="165">
        <f t="shared" si="44"/>
        <v>35249.5</v>
      </c>
      <c r="H63" s="165">
        <f t="shared" si="44"/>
        <v>42299.4</v>
      </c>
      <c r="I63" s="165">
        <f t="shared" si="44"/>
        <v>49349.3</v>
      </c>
      <c r="J63" s="97"/>
      <c r="K63" s="165">
        <f>K62</f>
        <v>28199.600000000002</v>
      </c>
      <c r="L63" s="165">
        <f t="shared" ref="L63:Q63" si="45">L62+K63</f>
        <v>45119.360000000001</v>
      </c>
      <c r="M63" s="165">
        <f t="shared" si="45"/>
        <v>55271.216</v>
      </c>
      <c r="N63" s="165">
        <f t="shared" si="45"/>
        <v>61362.329599999997</v>
      </c>
      <c r="O63" s="165">
        <f t="shared" si="45"/>
        <v>65016.997759999998</v>
      </c>
      <c r="P63" s="165">
        <f t="shared" si="45"/>
        <v>67209.798655999999</v>
      </c>
      <c r="Q63" s="165">
        <f t="shared" si="45"/>
        <v>68525.479193599997</v>
      </c>
    </row>
    <row r="64" spans="1:17">
      <c r="A64" s="163" t="str">
        <f>A58</f>
        <v>Net Fixed Assets</v>
      </c>
      <c r="B64" s="163"/>
      <c r="C64" s="165">
        <f t="shared" ref="C64:I64" si="46">C61-C62</f>
        <v>63449.1</v>
      </c>
      <c r="D64" s="165">
        <f t="shared" si="46"/>
        <v>56399.199999999997</v>
      </c>
      <c r="E64" s="165">
        <f t="shared" si="46"/>
        <v>49349.299999999996</v>
      </c>
      <c r="F64" s="165">
        <f t="shared" si="46"/>
        <v>42299.399999999994</v>
      </c>
      <c r="G64" s="165">
        <f t="shared" si="46"/>
        <v>35249.499999999993</v>
      </c>
      <c r="H64" s="165">
        <f t="shared" si="46"/>
        <v>28199.599999999991</v>
      </c>
      <c r="I64" s="165">
        <f t="shared" si="46"/>
        <v>21149.69999999999</v>
      </c>
      <c r="J64" s="97"/>
      <c r="K64" s="165">
        <f t="shared" ref="K64:Q64" si="47">K61-K62</f>
        <v>42299.399999999994</v>
      </c>
      <c r="L64" s="165">
        <f t="shared" si="47"/>
        <v>25379.639999999996</v>
      </c>
      <c r="M64" s="165">
        <f t="shared" si="47"/>
        <v>15227.783999999996</v>
      </c>
      <c r="N64" s="165">
        <f t="shared" si="47"/>
        <v>9136.6703999999972</v>
      </c>
      <c r="O64" s="165">
        <f t="shared" si="47"/>
        <v>5482.002239999998</v>
      </c>
      <c r="P64" s="165">
        <f t="shared" si="47"/>
        <v>3289.2013439999987</v>
      </c>
      <c r="Q64" s="165">
        <f t="shared" si="47"/>
        <v>1973.5208063999992</v>
      </c>
    </row>
    <row r="65" spans="1:17">
      <c r="A65" s="164" t="s">
        <v>191</v>
      </c>
      <c r="B65" s="164"/>
      <c r="C65" s="166">
        <f t="shared" ref="C65:I68" si="48">C49+C43+C37+C55+C61</f>
        <v>4223294</v>
      </c>
      <c r="D65" s="166">
        <f t="shared" si="48"/>
        <v>3986039.0105000003</v>
      </c>
      <c r="E65" s="166">
        <f t="shared" si="48"/>
        <v>3748784.0210000002</v>
      </c>
      <c r="F65" s="166">
        <f t="shared" si="48"/>
        <v>3511529.0314999996</v>
      </c>
      <c r="G65" s="166">
        <f t="shared" si="48"/>
        <v>3274274.0419999999</v>
      </c>
      <c r="H65" s="166">
        <f t="shared" si="48"/>
        <v>3037019.0525000002</v>
      </c>
      <c r="I65" s="166">
        <f t="shared" si="48"/>
        <v>2799764.0630000001</v>
      </c>
      <c r="J65" s="97"/>
      <c r="K65" s="166">
        <f t="shared" ref="K65:Q68" si="49">K49+K43+K37+K55+K61</f>
        <v>4223294</v>
      </c>
      <c r="L65" s="166">
        <f t="shared" si="49"/>
        <v>3626162.9</v>
      </c>
      <c r="M65" s="166">
        <f t="shared" si="49"/>
        <v>3120252.59</v>
      </c>
      <c r="N65" s="166">
        <f t="shared" si="49"/>
        <v>2689599.8689999999</v>
      </c>
      <c r="O65" s="166">
        <f t="shared" si="49"/>
        <v>2321710.0124000004</v>
      </c>
      <c r="P65" s="166">
        <f t="shared" si="49"/>
        <v>2006590.7057149999</v>
      </c>
      <c r="Q65" s="166">
        <f t="shared" si="49"/>
        <v>1736110.8257952498</v>
      </c>
    </row>
    <row r="66" spans="1:17">
      <c r="A66" s="164" t="s">
        <v>192</v>
      </c>
      <c r="B66" s="164"/>
      <c r="C66" s="166">
        <f t="shared" si="48"/>
        <v>237254.98949999997</v>
      </c>
      <c r="D66" s="166">
        <f t="shared" si="48"/>
        <v>237254.98949999997</v>
      </c>
      <c r="E66" s="166">
        <f t="shared" si="48"/>
        <v>237254.98949999997</v>
      </c>
      <c r="F66" s="166">
        <f t="shared" si="48"/>
        <v>237254.98949999997</v>
      </c>
      <c r="G66" s="166">
        <f t="shared" si="48"/>
        <v>237254.98949999997</v>
      </c>
      <c r="H66" s="166">
        <f t="shared" si="48"/>
        <v>237254.98949999997</v>
      </c>
      <c r="I66" s="166">
        <f t="shared" si="48"/>
        <v>237254.98949999997</v>
      </c>
      <c r="J66" s="97"/>
      <c r="K66" s="166">
        <f t="shared" si="49"/>
        <v>597131.1</v>
      </c>
      <c r="L66" s="166">
        <f t="shared" si="49"/>
        <v>505910.31</v>
      </c>
      <c r="M66" s="166">
        <f t="shared" si="49"/>
        <v>430652.72100000002</v>
      </c>
      <c r="N66" s="166">
        <f t="shared" si="49"/>
        <v>367889.85659999994</v>
      </c>
      <c r="O66" s="166">
        <f t="shared" si="49"/>
        <v>315119.30668499996</v>
      </c>
      <c r="P66" s="166">
        <f t="shared" si="49"/>
        <v>270479.87991974998</v>
      </c>
      <c r="Q66" s="166">
        <f t="shared" si="49"/>
        <v>232547.62035753747</v>
      </c>
    </row>
    <row r="67" spans="1:17">
      <c r="A67" s="164" t="s">
        <v>193</v>
      </c>
      <c r="B67" s="164"/>
      <c r="C67" s="166">
        <f t="shared" si="48"/>
        <v>237254.98949999997</v>
      </c>
      <c r="D67" s="166">
        <f t="shared" si="48"/>
        <v>474509.97899999993</v>
      </c>
      <c r="E67" s="166">
        <f t="shared" si="48"/>
        <v>711764.96849999984</v>
      </c>
      <c r="F67" s="166">
        <f t="shared" si="48"/>
        <v>949019.95799999987</v>
      </c>
      <c r="G67" s="166">
        <f t="shared" si="48"/>
        <v>1186274.9475</v>
      </c>
      <c r="H67" s="166">
        <f t="shared" si="48"/>
        <v>1423529.9369999999</v>
      </c>
      <c r="I67" s="166">
        <f t="shared" si="48"/>
        <v>1660784.9265000001</v>
      </c>
      <c r="J67" s="97"/>
      <c r="K67" s="166">
        <f t="shared" si="49"/>
        <v>597131.1</v>
      </c>
      <c r="L67" s="166">
        <f t="shared" si="49"/>
        <v>1103041.4099999999</v>
      </c>
      <c r="M67" s="166">
        <f t="shared" si="49"/>
        <v>1533694.1310000001</v>
      </c>
      <c r="N67" s="166">
        <f t="shared" si="49"/>
        <v>1901583.9876000001</v>
      </c>
      <c r="O67" s="166">
        <f t="shared" si="49"/>
        <v>2216703.2942850003</v>
      </c>
      <c r="P67" s="166">
        <f t="shared" si="49"/>
        <v>2487183.17420475</v>
      </c>
      <c r="Q67" s="166">
        <f t="shared" si="49"/>
        <v>2719730.7945622876</v>
      </c>
    </row>
    <row r="68" spans="1:17">
      <c r="A68" s="164" t="s">
        <v>187</v>
      </c>
      <c r="B68" s="164"/>
      <c r="C68" s="166">
        <f t="shared" si="48"/>
        <v>3986039.0105000003</v>
      </c>
      <c r="D68" s="166">
        <f t="shared" si="48"/>
        <v>3748784.0210000002</v>
      </c>
      <c r="E68" s="166">
        <f t="shared" si="48"/>
        <v>3511529.0314999996</v>
      </c>
      <c r="F68" s="166">
        <f t="shared" si="48"/>
        <v>3274274.0419999999</v>
      </c>
      <c r="G68" s="166">
        <f t="shared" si="48"/>
        <v>3037019.0525000002</v>
      </c>
      <c r="H68" s="166">
        <f t="shared" si="48"/>
        <v>2799764.0630000001</v>
      </c>
      <c r="I68" s="166">
        <f t="shared" si="48"/>
        <v>2562509.0734999999</v>
      </c>
      <c r="J68" s="97"/>
      <c r="K68" s="166">
        <f t="shared" si="49"/>
        <v>3626162.9</v>
      </c>
      <c r="L68" s="166">
        <f t="shared" si="49"/>
        <v>3120252.59</v>
      </c>
      <c r="M68" s="166">
        <f t="shared" si="49"/>
        <v>2689599.8689999999</v>
      </c>
      <c r="N68" s="166">
        <f t="shared" si="49"/>
        <v>2321710.0124000004</v>
      </c>
      <c r="O68" s="166">
        <f t="shared" si="49"/>
        <v>2006590.7057149999</v>
      </c>
      <c r="P68" s="166">
        <f t="shared" si="49"/>
        <v>1736110.8257952498</v>
      </c>
      <c r="Q68" s="166">
        <f t="shared" si="49"/>
        <v>1503563.2054377124</v>
      </c>
    </row>
    <row r="69" spans="1:17">
      <c r="A69" s="169"/>
      <c r="B69" s="169"/>
      <c r="C69" s="170"/>
      <c r="D69" s="170"/>
      <c r="E69" s="170"/>
      <c r="F69" s="170"/>
      <c r="G69" s="170"/>
      <c r="H69" s="170"/>
      <c r="I69" s="170"/>
      <c r="J69" s="92"/>
    </row>
    <row r="70" spans="1:17">
      <c r="A70" s="92"/>
      <c r="B70" s="92"/>
      <c r="C70" s="92"/>
      <c r="D70" s="92"/>
      <c r="E70" s="92"/>
      <c r="F70" s="92"/>
      <c r="G70" s="92"/>
      <c r="H70" s="92"/>
      <c r="I70" s="92"/>
      <c r="J70" s="92"/>
    </row>
    <row r="71" spans="1:17" ht="29.25">
      <c r="A71" s="171" t="s">
        <v>194</v>
      </c>
      <c r="B71" s="172" t="s">
        <v>195</v>
      </c>
      <c r="C71" s="173" t="s">
        <v>196</v>
      </c>
      <c r="D71" s="92"/>
      <c r="E71" s="92"/>
      <c r="F71" s="92"/>
      <c r="G71" s="92"/>
      <c r="H71" s="92"/>
      <c r="I71" s="92"/>
      <c r="J71" s="92"/>
    </row>
    <row r="72" spans="1:17" ht="29.25">
      <c r="A72" s="174" t="s">
        <v>197</v>
      </c>
      <c r="B72" s="172" t="s">
        <v>198</v>
      </c>
      <c r="C72" s="173" t="s">
        <v>199</v>
      </c>
      <c r="D72" s="92"/>
      <c r="E72" s="92"/>
      <c r="F72" s="92"/>
      <c r="G72" s="92"/>
      <c r="H72" s="92"/>
      <c r="I72" s="92"/>
      <c r="J72" s="92"/>
    </row>
    <row r="73" spans="1:17">
      <c r="A73" s="174" t="s">
        <v>147</v>
      </c>
      <c r="B73" s="175">
        <v>0</v>
      </c>
      <c r="C73" s="175">
        <v>0</v>
      </c>
      <c r="D73" s="92"/>
      <c r="E73" s="92"/>
      <c r="F73" s="92"/>
      <c r="G73" s="92"/>
      <c r="H73" s="92"/>
      <c r="I73" s="92"/>
      <c r="J73" s="92"/>
    </row>
    <row r="74" spans="1:17">
      <c r="A74" s="176" t="s">
        <v>188</v>
      </c>
      <c r="B74" s="175">
        <v>3.1699999999999999E-2</v>
      </c>
      <c r="C74" s="175">
        <v>0.1</v>
      </c>
      <c r="D74" s="177"/>
      <c r="E74" s="92"/>
      <c r="F74" s="92"/>
      <c r="G74" s="92"/>
      <c r="H74" s="92"/>
      <c r="I74" s="92"/>
      <c r="J74" s="92"/>
    </row>
    <row r="75" spans="1:17">
      <c r="A75" s="176" t="s">
        <v>190</v>
      </c>
      <c r="B75" s="178">
        <v>0.1</v>
      </c>
      <c r="C75" s="175">
        <v>0.1</v>
      </c>
      <c r="D75" s="92"/>
      <c r="E75" s="92"/>
      <c r="F75" s="92"/>
      <c r="G75" s="92"/>
      <c r="H75" s="92"/>
      <c r="I75" s="92"/>
      <c r="J75" s="92"/>
    </row>
    <row r="76" spans="1:17">
      <c r="A76" s="92" t="s">
        <v>200</v>
      </c>
      <c r="B76" s="178">
        <v>0.1</v>
      </c>
      <c r="C76" s="178">
        <v>0.4</v>
      </c>
      <c r="D76" s="92"/>
      <c r="E76" s="92"/>
      <c r="F76" s="92"/>
      <c r="G76" s="92"/>
      <c r="H76" s="92"/>
      <c r="I76" s="92"/>
      <c r="J76" s="92"/>
    </row>
    <row r="77" spans="1:17">
      <c r="A77" s="92" t="s">
        <v>265</v>
      </c>
      <c r="B77" s="178">
        <v>0.1188</v>
      </c>
      <c r="C77" s="178">
        <v>0.15</v>
      </c>
      <c r="D77" s="92"/>
      <c r="E77" s="92"/>
      <c r="F77" s="92"/>
      <c r="G77" s="92"/>
      <c r="H77" s="92"/>
      <c r="I77" s="92"/>
      <c r="J77" s="92"/>
    </row>
    <row r="78" spans="1:17">
      <c r="A78" s="176" t="s">
        <v>201</v>
      </c>
      <c r="B78" s="178">
        <v>6.3299999999999995E-2</v>
      </c>
      <c r="C78" s="178">
        <v>0.15</v>
      </c>
      <c r="D78" s="92"/>
      <c r="E78" s="92"/>
      <c r="F78" s="92"/>
      <c r="G78" s="92"/>
      <c r="H78" s="92"/>
      <c r="I78" s="92"/>
      <c r="J78" s="92"/>
    </row>
    <row r="79" spans="1:17" ht="29.25">
      <c r="A79" s="174" t="s">
        <v>194</v>
      </c>
      <c r="B79" s="175"/>
      <c r="C79" s="179"/>
      <c r="D79" s="92"/>
      <c r="E79" s="92"/>
      <c r="F79" s="92"/>
      <c r="G79" s="92"/>
      <c r="H79" s="92"/>
      <c r="I79" s="92"/>
      <c r="J79" s="92"/>
    </row>
    <row r="80" spans="1:17">
      <c r="A80" s="176" t="s">
        <v>202</v>
      </c>
      <c r="B80" s="179">
        <v>0.2</v>
      </c>
      <c r="C80" s="180">
        <v>0.2</v>
      </c>
      <c r="D80" s="92"/>
      <c r="E80" s="92"/>
      <c r="F80" s="92"/>
      <c r="G80" s="92"/>
      <c r="H80" s="92"/>
      <c r="I80" s="92"/>
      <c r="J80" s="92"/>
    </row>
    <row r="81" spans="1:12">
      <c r="A81" s="92"/>
      <c r="B81" s="92"/>
      <c r="C81" s="92"/>
      <c r="D81" s="92"/>
      <c r="E81" s="92"/>
      <c r="F81" s="92"/>
      <c r="G81" s="92"/>
      <c r="H81" s="92"/>
      <c r="I81" s="92"/>
      <c r="J81" s="92"/>
    </row>
    <row r="82" spans="1:12">
      <c r="A82" s="92"/>
      <c r="B82" s="92"/>
      <c r="C82" s="92"/>
      <c r="D82" s="92"/>
      <c r="E82" s="181"/>
      <c r="F82" s="92"/>
      <c r="G82" s="92"/>
      <c r="H82" s="92"/>
      <c r="I82" s="92"/>
      <c r="J82" s="92"/>
    </row>
    <row r="83" spans="1:12" s="63" customFormat="1" ht="18.75">
      <c r="A83" s="419" t="s">
        <v>503</v>
      </c>
      <c r="B83" s="419"/>
      <c r="C83" s="419"/>
      <c r="D83" s="419"/>
      <c r="E83" s="419"/>
      <c r="F83" s="419"/>
      <c r="G83" s="419"/>
      <c r="H83" s="419"/>
      <c r="I83" s="419"/>
      <c r="J83" s="419"/>
    </row>
    <row r="84" spans="1:12" s="63" customFormat="1">
      <c r="A84" s="33"/>
      <c r="B84" s="33"/>
    </row>
    <row r="85" spans="1:12" s="63" customFormat="1">
      <c r="A85" s="151" t="s">
        <v>0</v>
      </c>
      <c r="B85" s="152" t="s">
        <v>318</v>
      </c>
      <c r="C85" s="153" t="s">
        <v>2</v>
      </c>
      <c r="D85" s="153" t="s">
        <v>3</v>
      </c>
      <c r="E85" s="153" t="s">
        <v>4</v>
      </c>
      <c r="F85" s="153" t="s">
        <v>5</v>
      </c>
      <c r="G85" s="153" t="s">
        <v>6</v>
      </c>
      <c r="H85" s="153" t="s">
        <v>168</v>
      </c>
      <c r="I85" s="153" t="s">
        <v>167</v>
      </c>
      <c r="J85" s="36"/>
      <c r="K85" s="36"/>
      <c r="L85" s="36"/>
    </row>
    <row r="86" spans="1:12" s="63" customFormat="1">
      <c r="A86" s="154" t="s">
        <v>243</v>
      </c>
      <c r="B86" s="155">
        <v>5</v>
      </c>
      <c r="C86" s="156">
        <f>'1.Project Cost and MOF'!$D$10/5</f>
        <v>21400</v>
      </c>
      <c r="D86" s="156">
        <f>'1.Project Cost and MOF'!$D$10/5</f>
        <v>21400</v>
      </c>
      <c r="E86" s="156">
        <f>'1.Project Cost and MOF'!$D$10/5</f>
        <v>21400</v>
      </c>
      <c r="F86" s="156">
        <f>'1.Project Cost and MOF'!$D$10/5</f>
        <v>21400</v>
      </c>
      <c r="G86" s="156">
        <f>'1.Project Cost and MOF'!$D$10/5</f>
        <v>21400</v>
      </c>
      <c r="H86" s="156">
        <v>0</v>
      </c>
      <c r="I86" s="156">
        <v>0</v>
      </c>
      <c r="J86" s="36"/>
      <c r="K86" s="36"/>
      <c r="L86" s="36"/>
    </row>
    <row r="87" spans="1:12" s="63" customFormat="1">
      <c r="A87" s="157" t="s">
        <v>319</v>
      </c>
      <c r="B87" s="158"/>
      <c r="C87" s="159">
        <f t="shared" ref="C87:I87" si="50">SUM(C85:C86)</f>
        <v>21400</v>
      </c>
      <c r="D87" s="159">
        <f t="shared" si="50"/>
        <v>21400</v>
      </c>
      <c r="E87" s="159">
        <f t="shared" si="50"/>
        <v>21400</v>
      </c>
      <c r="F87" s="159">
        <f t="shared" si="50"/>
        <v>21400</v>
      </c>
      <c r="G87" s="159">
        <f t="shared" si="50"/>
        <v>21400</v>
      </c>
      <c r="H87" s="159">
        <f t="shared" si="50"/>
        <v>0</v>
      </c>
      <c r="I87" s="159">
        <f t="shared" si="50"/>
        <v>0</v>
      </c>
      <c r="J87" s="64"/>
      <c r="K87" s="64"/>
      <c r="L87" s="64"/>
    </row>
    <row r="88" spans="1:12" s="63" customFormat="1">
      <c r="C88" s="36"/>
      <c r="D88" s="36"/>
      <c r="E88" s="36"/>
      <c r="F88" s="36"/>
      <c r="G88" s="36"/>
      <c r="H88" s="36"/>
      <c r="I88" s="36"/>
      <c r="J88" s="36"/>
      <c r="K88" s="36"/>
      <c r="L88" s="36"/>
    </row>
    <row r="91" spans="1:12">
      <c r="A91" s="31"/>
      <c r="B91" s="32"/>
      <c r="C91" s="32"/>
      <c r="D91" s="32"/>
      <c r="E91" s="32"/>
      <c r="F91" s="32"/>
      <c r="G91" s="32"/>
      <c r="H91" s="32"/>
      <c r="I91" s="32"/>
      <c r="J91" s="32"/>
      <c r="K91" s="32"/>
    </row>
    <row r="92" spans="1:12" ht="18.75">
      <c r="A92" s="430" t="s">
        <v>504</v>
      </c>
      <c r="B92" s="430"/>
      <c r="C92" s="430"/>
      <c r="D92" s="430"/>
      <c r="E92" s="430"/>
      <c r="F92" s="430"/>
      <c r="G92" s="430"/>
      <c r="H92" s="430"/>
      <c r="I92" s="148"/>
      <c r="J92" s="148"/>
      <c r="K92" s="148"/>
    </row>
    <row r="93" spans="1:12">
      <c r="A93" s="33"/>
      <c r="B93" s="32"/>
      <c r="C93" s="32"/>
      <c r="D93" s="32"/>
      <c r="E93" s="32"/>
      <c r="F93" s="32"/>
      <c r="G93" s="32"/>
      <c r="H93" s="32"/>
      <c r="I93" s="32"/>
      <c r="J93" s="32"/>
      <c r="K93" s="32"/>
    </row>
    <row r="94" spans="1:12">
      <c r="A94" s="146" t="s">
        <v>0</v>
      </c>
      <c r="B94" s="118" t="s">
        <v>2</v>
      </c>
      <c r="C94" s="118" t="s">
        <v>3</v>
      </c>
      <c r="D94" s="118" t="s">
        <v>4</v>
      </c>
      <c r="E94" s="118" t="s">
        <v>5</v>
      </c>
      <c r="F94" s="118" t="s">
        <v>6</v>
      </c>
      <c r="G94" s="118" t="s">
        <v>168</v>
      </c>
      <c r="H94" s="118" t="s">
        <v>167</v>
      </c>
      <c r="I94" s="27"/>
      <c r="J94" s="27"/>
      <c r="K94" s="27"/>
    </row>
    <row r="95" spans="1:12">
      <c r="A95" s="86" t="s">
        <v>215</v>
      </c>
      <c r="B95" s="149">
        <f>'6.Cons Profit &amp; Loss'!B40</f>
        <v>878390.60978059587</v>
      </c>
      <c r="C95" s="149">
        <f>'6.Cons Profit &amp; Loss'!C40</f>
        <v>836816.230283187</v>
      </c>
      <c r="D95" s="149">
        <f>'6.Cons Profit &amp; Loss'!D40</f>
        <v>1045272.4343374756</v>
      </c>
      <c r="E95" s="149">
        <f>'6.Cons Profit &amp; Loss'!E40</f>
        <v>1271835.5807476949</v>
      </c>
      <c r="F95" s="149">
        <f>'6.Cons Profit &amp; Loss'!F40</f>
        <v>1517795.2232393932</v>
      </c>
      <c r="G95" s="149">
        <f>'6.Cons Profit &amp; Loss'!G40</f>
        <v>1805924.6035545778</v>
      </c>
      <c r="H95" s="149">
        <f>'6.Cons Profit &amp; Loss'!H40</f>
        <v>2094885.7963694346</v>
      </c>
      <c r="I95" s="35"/>
      <c r="J95" s="35"/>
      <c r="K95" s="35"/>
    </row>
    <row r="96" spans="1:12">
      <c r="A96" s="86" t="s">
        <v>216</v>
      </c>
      <c r="B96" s="149">
        <f>'6.Cons Profit &amp; Loss'!B33</f>
        <v>237254.98949999997</v>
      </c>
      <c r="C96" s="149">
        <f>'6.Cons Profit &amp; Loss'!C33</f>
        <v>237254.98949999997</v>
      </c>
      <c r="D96" s="149">
        <f>'6.Cons Profit &amp; Loss'!D33</f>
        <v>237254.98949999997</v>
      </c>
      <c r="E96" s="149">
        <f>'6.Cons Profit &amp; Loss'!E33</f>
        <v>237254.98949999997</v>
      </c>
      <c r="F96" s="149">
        <f>'6.Cons Profit &amp; Loss'!F33</f>
        <v>237254.98949999997</v>
      </c>
      <c r="G96" s="149">
        <f>'6.Cons Profit &amp; Loss'!G33</f>
        <v>237254.98949999997</v>
      </c>
      <c r="H96" s="149">
        <f>'6.Cons Profit &amp; Loss'!H33</f>
        <v>237254.98949999997</v>
      </c>
      <c r="I96" s="35"/>
      <c r="J96" s="35"/>
      <c r="K96" s="35"/>
    </row>
    <row r="97" spans="1:11">
      <c r="A97" s="86" t="s">
        <v>217</v>
      </c>
      <c r="B97" s="149">
        <f>'3.Other Exp &amp; Taxes'!K66</f>
        <v>597131.1</v>
      </c>
      <c r="C97" s="149">
        <f>'3.Other Exp &amp; Taxes'!L66</f>
        <v>505910.31</v>
      </c>
      <c r="D97" s="149">
        <f>'3.Other Exp &amp; Taxes'!M66</f>
        <v>430652.72100000002</v>
      </c>
      <c r="E97" s="149">
        <f>'3.Other Exp &amp; Taxes'!N66</f>
        <v>367889.85659999994</v>
      </c>
      <c r="F97" s="149">
        <f>'3.Other Exp &amp; Taxes'!O66</f>
        <v>315119.30668499996</v>
      </c>
      <c r="G97" s="149">
        <f>'3.Other Exp &amp; Taxes'!P66</f>
        <v>270479.87991974998</v>
      </c>
      <c r="H97" s="149">
        <f>'3.Other Exp &amp; Taxes'!Q66</f>
        <v>232547.62035753747</v>
      </c>
      <c r="I97" s="35"/>
      <c r="J97" s="35"/>
      <c r="K97" s="35"/>
    </row>
    <row r="98" spans="1:11">
      <c r="A98" s="86" t="s">
        <v>276</v>
      </c>
      <c r="B98" s="149">
        <f t="shared" ref="B98:H98" si="51">B95+B96-B97</f>
        <v>518514.4992805958</v>
      </c>
      <c r="C98" s="149">
        <f t="shared" si="51"/>
        <v>568160.90978318686</v>
      </c>
      <c r="D98" s="149">
        <f t="shared" si="51"/>
        <v>851874.70283747546</v>
      </c>
      <c r="E98" s="149">
        <f t="shared" si="51"/>
        <v>1141200.7136476948</v>
      </c>
      <c r="F98" s="149">
        <f t="shared" si="51"/>
        <v>1439930.9060543932</v>
      </c>
      <c r="G98" s="149">
        <f t="shared" si="51"/>
        <v>1772699.7131348278</v>
      </c>
      <c r="H98" s="149">
        <f t="shared" si="51"/>
        <v>2099593.1655118968</v>
      </c>
      <c r="I98" s="35"/>
      <c r="J98" s="35"/>
      <c r="K98" s="35"/>
    </row>
    <row r="99" spans="1:11">
      <c r="A99" s="88" t="s">
        <v>218</v>
      </c>
      <c r="B99" s="150">
        <f t="shared" ref="B99:H99" si="52">B98*$B$102</f>
        <v>134813.76981295491</v>
      </c>
      <c r="C99" s="150">
        <f t="shared" si="52"/>
        <v>147721.8365436286</v>
      </c>
      <c r="D99" s="150">
        <f t="shared" si="52"/>
        <v>221487.42273774362</v>
      </c>
      <c r="E99" s="150">
        <f t="shared" si="52"/>
        <v>296712.18554840068</v>
      </c>
      <c r="F99" s="150">
        <f t="shared" si="52"/>
        <v>374382.03557414224</v>
      </c>
      <c r="G99" s="150">
        <f t="shared" si="52"/>
        <v>460901.92541505524</v>
      </c>
      <c r="H99" s="150">
        <f t="shared" si="52"/>
        <v>545894.22303309315</v>
      </c>
      <c r="I99" s="35"/>
      <c r="J99" s="35"/>
      <c r="K99" s="35"/>
    </row>
    <row r="100" spans="1:11">
      <c r="A100" s="34"/>
      <c r="B100" s="32"/>
      <c r="C100" s="32"/>
      <c r="D100" s="32"/>
      <c r="E100" s="32"/>
      <c r="F100" s="32"/>
      <c r="G100" s="32"/>
      <c r="H100" s="32"/>
      <c r="I100" s="32"/>
      <c r="J100" s="32"/>
      <c r="K100" s="32"/>
    </row>
    <row r="101" spans="1:11">
      <c r="A101" s="34"/>
      <c r="B101" s="36"/>
      <c r="C101" s="36"/>
      <c r="D101" s="36"/>
      <c r="E101" s="36"/>
      <c r="F101" s="36"/>
      <c r="G101" s="36"/>
      <c r="H101" s="36"/>
      <c r="I101" s="36"/>
      <c r="J101" s="36"/>
      <c r="K101" s="36"/>
    </row>
    <row r="102" spans="1:11">
      <c r="A102" s="37" t="s">
        <v>373</v>
      </c>
      <c r="B102" s="275">
        <v>0.26</v>
      </c>
      <c r="C102" s="36"/>
      <c r="D102" s="36"/>
      <c r="E102" s="36"/>
      <c r="F102" s="36"/>
      <c r="G102" s="36"/>
      <c r="H102" s="36"/>
      <c r="I102" s="36"/>
      <c r="J102" s="36"/>
      <c r="K102" s="36"/>
    </row>
    <row r="103" spans="1:11">
      <c r="A103" s="32"/>
      <c r="B103" s="32"/>
      <c r="C103" s="32"/>
      <c r="D103" s="32"/>
      <c r="E103" s="32"/>
      <c r="F103" s="32"/>
      <c r="G103" s="32"/>
      <c r="H103" s="32"/>
      <c r="I103" s="32"/>
      <c r="J103" s="32"/>
      <c r="K103" s="32"/>
    </row>
    <row r="104" spans="1:11" ht="29.1" customHeight="1">
      <c r="A104" s="431" t="s">
        <v>401</v>
      </c>
      <c r="B104" s="431"/>
      <c r="C104" s="431"/>
      <c r="D104" s="431"/>
      <c r="E104" s="431"/>
      <c r="F104" s="431"/>
      <c r="G104" s="431"/>
      <c r="H104" s="431"/>
      <c r="I104" s="30"/>
      <c r="J104" s="30"/>
      <c r="K104" s="30"/>
    </row>
  </sheetData>
  <mergeCells count="8">
    <mergeCell ref="A83:J83"/>
    <mergeCell ref="A92:H92"/>
    <mergeCell ref="A104:H104"/>
    <mergeCell ref="A2:K2"/>
    <mergeCell ref="A28:O28"/>
    <mergeCell ref="C31:I31"/>
    <mergeCell ref="K31:Q31"/>
    <mergeCell ref="A29:I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I98"/>
  <sheetViews>
    <sheetView view="pageBreakPreview" topLeftCell="A32" zoomScale="80" zoomScaleSheetLayoutView="80" workbookViewId="0">
      <selection activeCell="D19" sqref="D1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7" t="s">
        <v>505</v>
      </c>
      <c r="B2" s="417"/>
      <c r="C2" s="417"/>
      <c r="D2" s="417"/>
      <c r="E2" s="417"/>
      <c r="F2" s="417"/>
      <c r="G2" s="435"/>
    </row>
    <row r="3" spans="1:7">
      <c r="B3" s="15"/>
      <c r="C3" s="15"/>
      <c r="D3" s="15"/>
      <c r="E3" s="15"/>
      <c r="F3" s="15"/>
      <c r="G3" s="15"/>
    </row>
    <row r="4" spans="1:7">
      <c r="A4" s="92"/>
      <c r="B4" s="92"/>
      <c r="C4" s="92" t="s">
        <v>427</v>
      </c>
      <c r="D4" s="110">
        <f>'1.Project Cost and MOF'!E20</f>
        <v>0</v>
      </c>
      <c r="E4" s="92"/>
      <c r="F4" s="92"/>
      <c r="G4" s="92"/>
    </row>
    <row r="5" spans="1:7">
      <c r="A5" s="92"/>
      <c r="B5" s="92"/>
      <c r="C5" s="92" t="s">
        <v>428</v>
      </c>
      <c r="D5" s="269">
        <v>0.12</v>
      </c>
      <c r="E5" s="92"/>
      <c r="F5" s="92"/>
      <c r="G5" s="92"/>
    </row>
    <row r="6" spans="1:7">
      <c r="A6" s="92"/>
      <c r="B6" s="92"/>
      <c r="C6" s="92" t="s">
        <v>429</v>
      </c>
      <c r="D6" s="270">
        <v>7</v>
      </c>
      <c r="E6" s="92"/>
      <c r="F6" s="92"/>
      <c r="G6" s="92"/>
    </row>
    <row r="7" spans="1:7">
      <c r="A7" s="92"/>
      <c r="B7" s="92"/>
      <c r="C7" s="92" t="s">
        <v>430</v>
      </c>
      <c r="D7" s="270">
        <v>6</v>
      </c>
      <c r="E7" s="92"/>
      <c r="F7" s="92"/>
      <c r="G7" s="92"/>
    </row>
    <row r="8" spans="1:7">
      <c r="A8" s="92"/>
      <c r="B8" s="92"/>
      <c r="C8" s="92" t="s">
        <v>22</v>
      </c>
      <c r="D8" s="204">
        <f>PMT(D5/12,(D6-(D7/12))*12,-D4)</f>
        <v>0</v>
      </c>
      <c r="E8" s="204"/>
      <c r="F8" s="260"/>
      <c r="G8" s="92"/>
    </row>
    <row r="9" spans="1:7">
      <c r="A9" s="146" t="s">
        <v>277</v>
      </c>
      <c r="B9" s="205" t="s">
        <v>18</v>
      </c>
      <c r="C9" s="206" t="s">
        <v>19</v>
      </c>
      <c r="D9" s="206" t="s">
        <v>20</v>
      </c>
      <c r="E9" s="206" t="s">
        <v>21</v>
      </c>
      <c r="F9" s="206" t="s">
        <v>22</v>
      </c>
      <c r="G9" s="206" t="s">
        <v>23</v>
      </c>
    </row>
    <row r="10" spans="1:7">
      <c r="A10" s="93" t="s">
        <v>11</v>
      </c>
      <c r="B10" s="93" t="s">
        <v>52</v>
      </c>
      <c r="C10" s="94">
        <f>D4</f>
        <v>0</v>
      </c>
      <c r="D10" s="94">
        <f t="shared" ref="D10:D41" si="0">C10*$D$5/12</f>
        <v>0</v>
      </c>
      <c r="E10" s="94">
        <f t="shared" ref="E10:E15" si="1">F10-D10</f>
        <v>0</v>
      </c>
      <c r="F10" s="94">
        <f>D10</f>
        <v>0</v>
      </c>
      <c r="G10" s="94">
        <f>C10-E10</f>
        <v>0</v>
      </c>
    </row>
    <row r="11" spans="1:7">
      <c r="A11" s="93"/>
      <c r="B11" s="93" t="s">
        <v>53</v>
      </c>
      <c r="C11" s="94">
        <f>G10</f>
        <v>0</v>
      </c>
      <c r="D11" s="94">
        <f t="shared" si="0"/>
        <v>0</v>
      </c>
      <c r="E11" s="94">
        <f t="shared" si="1"/>
        <v>0</v>
      </c>
      <c r="F11" s="94">
        <f t="shared" ref="F11:F15" si="2">D11</f>
        <v>0</v>
      </c>
      <c r="G11" s="94">
        <f t="shared" ref="G11:G74" si="3">C11-E11</f>
        <v>0</v>
      </c>
    </row>
    <row r="12" spans="1:7">
      <c r="A12" s="93"/>
      <c r="B12" s="93" t="s">
        <v>54</v>
      </c>
      <c r="C12" s="94">
        <f t="shared" ref="C12:C75" si="4">G11</f>
        <v>0</v>
      </c>
      <c r="D12" s="94">
        <f t="shared" si="0"/>
        <v>0</v>
      </c>
      <c r="E12" s="94">
        <f t="shared" si="1"/>
        <v>0</v>
      </c>
      <c r="F12" s="94">
        <f t="shared" si="2"/>
        <v>0</v>
      </c>
      <c r="G12" s="94">
        <f t="shared" si="3"/>
        <v>0</v>
      </c>
    </row>
    <row r="13" spans="1:7">
      <c r="A13" s="93"/>
      <c r="B13" s="93" t="s">
        <v>55</v>
      </c>
      <c r="C13" s="94">
        <f t="shared" si="4"/>
        <v>0</v>
      </c>
      <c r="D13" s="94">
        <f t="shared" si="0"/>
        <v>0</v>
      </c>
      <c r="E13" s="94">
        <f t="shared" si="1"/>
        <v>0</v>
      </c>
      <c r="F13" s="94">
        <f t="shared" si="2"/>
        <v>0</v>
      </c>
      <c r="G13" s="94">
        <f t="shared" si="3"/>
        <v>0</v>
      </c>
    </row>
    <row r="14" spans="1:7">
      <c r="A14" s="93"/>
      <c r="B14" s="93" t="s">
        <v>56</v>
      </c>
      <c r="C14" s="94">
        <f t="shared" si="4"/>
        <v>0</v>
      </c>
      <c r="D14" s="94">
        <f t="shared" si="0"/>
        <v>0</v>
      </c>
      <c r="E14" s="94">
        <f t="shared" si="1"/>
        <v>0</v>
      </c>
      <c r="F14" s="94">
        <f t="shared" si="2"/>
        <v>0</v>
      </c>
      <c r="G14" s="94">
        <f t="shared" si="3"/>
        <v>0</v>
      </c>
    </row>
    <row r="15" spans="1:7">
      <c r="A15" s="93"/>
      <c r="B15" s="93" t="s">
        <v>57</v>
      </c>
      <c r="C15" s="94">
        <f t="shared" si="4"/>
        <v>0</v>
      </c>
      <c r="D15" s="94">
        <f t="shared" si="0"/>
        <v>0</v>
      </c>
      <c r="E15" s="94">
        <f t="shared" si="1"/>
        <v>0</v>
      </c>
      <c r="F15" s="94">
        <f t="shared" si="2"/>
        <v>0</v>
      </c>
      <c r="G15" s="94">
        <f t="shared" si="3"/>
        <v>0</v>
      </c>
    </row>
    <row r="16" spans="1:7">
      <c r="A16" s="93"/>
      <c r="B16" s="93" t="s">
        <v>58</v>
      </c>
      <c r="C16" s="94">
        <f t="shared" si="4"/>
        <v>0</v>
      </c>
      <c r="D16" s="94">
        <f t="shared" si="0"/>
        <v>0</v>
      </c>
      <c r="E16" s="94">
        <f>F16-D16</f>
        <v>0</v>
      </c>
      <c r="F16" s="94">
        <f t="shared" ref="F16:F74" si="5">$D$8</f>
        <v>0</v>
      </c>
      <c r="G16" s="94">
        <f t="shared" si="3"/>
        <v>0</v>
      </c>
    </row>
    <row r="17" spans="1:9">
      <c r="A17" s="93"/>
      <c r="B17" s="93" t="s">
        <v>59</v>
      </c>
      <c r="C17" s="94">
        <f t="shared" si="4"/>
        <v>0</v>
      </c>
      <c r="D17" s="94">
        <f t="shared" si="0"/>
        <v>0</v>
      </c>
      <c r="E17" s="94">
        <f t="shared" ref="E17:E80" si="6">F17-D17</f>
        <v>0</v>
      </c>
      <c r="F17" s="94">
        <f t="shared" si="5"/>
        <v>0</v>
      </c>
      <c r="G17" s="94">
        <f t="shared" si="3"/>
        <v>0</v>
      </c>
    </row>
    <row r="18" spans="1:9">
      <c r="A18" s="93"/>
      <c r="B18" s="93" t="s">
        <v>60</v>
      </c>
      <c r="C18" s="94">
        <f t="shared" si="4"/>
        <v>0</v>
      </c>
      <c r="D18" s="94">
        <f t="shared" si="0"/>
        <v>0</v>
      </c>
      <c r="E18" s="94">
        <f t="shared" si="6"/>
        <v>0</v>
      </c>
      <c r="F18" s="94">
        <f t="shared" si="5"/>
        <v>0</v>
      </c>
      <c r="G18" s="94">
        <f t="shared" si="3"/>
        <v>0</v>
      </c>
    </row>
    <row r="19" spans="1:9">
      <c r="A19" s="93"/>
      <c r="B19" s="93" t="s">
        <v>61</v>
      </c>
      <c r="C19" s="94">
        <f t="shared" si="4"/>
        <v>0</v>
      </c>
      <c r="D19" s="94">
        <f t="shared" si="0"/>
        <v>0</v>
      </c>
      <c r="E19" s="94">
        <f t="shared" si="6"/>
        <v>0</v>
      </c>
      <c r="F19" s="94">
        <f t="shared" si="5"/>
        <v>0</v>
      </c>
      <c r="G19" s="94">
        <f t="shared" si="3"/>
        <v>0</v>
      </c>
    </row>
    <row r="20" spans="1:9">
      <c r="A20" s="93"/>
      <c r="B20" s="93" t="s">
        <v>62</v>
      </c>
      <c r="C20" s="94">
        <f t="shared" si="4"/>
        <v>0</v>
      </c>
      <c r="D20" s="94">
        <f t="shared" si="0"/>
        <v>0</v>
      </c>
      <c r="E20" s="94">
        <f t="shared" si="6"/>
        <v>0</v>
      </c>
      <c r="F20" s="94">
        <f t="shared" si="5"/>
        <v>0</v>
      </c>
      <c r="G20" s="94">
        <f t="shared" si="3"/>
        <v>0</v>
      </c>
    </row>
    <row r="21" spans="1:9">
      <c r="A21" s="93"/>
      <c r="B21" s="93" t="s">
        <v>63</v>
      </c>
      <c r="C21" s="94">
        <f t="shared" si="4"/>
        <v>0</v>
      </c>
      <c r="D21" s="94">
        <f t="shared" si="0"/>
        <v>0</v>
      </c>
      <c r="E21" s="94">
        <f t="shared" si="6"/>
        <v>0</v>
      </c>
      <c r="F21" s="94">
        <f t="shared" si="5"/>
        <v>0</v>
      </c>
      <c r="G21" s="94">
        <f t="shared" si="3"/>
        <v>0</v>
      </c>
      <c r="H21" s="1"/>
      <c r="I21" s="1"/>
    </row>
    <row r="22" spans="1:9">
      <c r="A22" s="93" t="s">
        <v>12</v>
      </c>
      <c r="B22" s="93" t="s">
        <v>64</v>
      </c>
      <c r="C22" s="94">
        <f t="shared" si="4"/>
        <v>0</v>
      </c>
      <c r="D22" s="94">
        <f t="shared" si="0"/>
        <v>0</v>
      </c>
      <c r="E22" s="94">
        <f t="shared" si="6"/>
        <v>0</v>
      </c>
      <c r="F22" s="94">
        <f t="shared" si="5"/>
        <v>0</v>
      </c>
      <c r="G22" s="94">
        <f t="shared" si="3"/>
        <v>0</v>
      </c>
    </row>
    <row r="23" spans="1:9">
      <c r="A23" s="93"/>
      <c r="B23" s="93" t="s">
        <v>65</v>
      </c>
      <c r="C23" s="94">
        <f t="shared" si="4"/>
        <v>0</v>
      </c>
      <c r="D23" s="94">
        <f t="shared" si="0"/>
        <v>0</v>
      </c>
      <c r="E23" s="94">
        <f t="shared" si="6"/>
        <v>0</v>
      </c>
      <c r="F23" s="94">
        <f t="shared" si="5"/>
        <v>0</v>
      </c>
      <c r="G23" s="94">
        <f t="shared" si="3"/>
        <v>0</v>
      </c>
    </row>
    <row r="24" spans="1:9">
      <c r="A24" s="93"/>
      <c r="B24" s="93" t="s">
        <v>66</v>
      </c>
      <c r="C24" s="94">
        <f t="shared" si="4"/>
        <v>0</v>
      </c>
      <c r="D24" s="94">
        <f t="shared" si="0"/>
        <v>0</v>
      </c>
      <c r="E24" s="94">
        <f t="shared" si="6"/>
        <v>0</v>
      </c>
      <c r="F24" s="94">
        <f t="shared" si="5"/>
        <v>0</v>
      </c>
      <c r="G24" s="94">
        <f t="shared" si="3"/>
        <v>0</v>
      </c>
    </row>
    <row r="25" spans="1:9">
      <c r="A25" s="93"/>
      <c r="B25" s="93" t="s">
        <v>67</v>
      </c>
      <c r="C25" s="94">
        <f t="shared" si="4"/>
        <v>0</v>
      </c>
      <c r="D25" s="94">
        <f t="shared" si="0"/>
        <v>0</v>
      </c>
      <c r="E25" s="94">
        <f t="shared" si="6"/>
        <v>0</v>
      </c>
      <c r="F25" s="94">
        <f t="shared" si="5"/>
        <v>0</v>
      </c>
      <c r="G25" s="94">
        <f t="shared" si="3"/>
        <v>0</v>
      </c>
    </row>
    <row r="26" spans="1:9">
      <c r="A26" s="93"/>
      <c r="B26" s="93" t="s">
        <v>68</v>
      </c>
      <c r="C26" s="94">
        <f t="shared" si="4"/>
        <v>0</v>
      </c>
      <c r="D26" s="94">
        <f t="shared" si="0"/>
        <v>0</v>
      </c>
      <c r="E26" s="94">
        <f t="shared" si="6"/>
        <v>0</v>
      </c>
      <c r="F26" s="94">
        <f t="shared" si="5"/>
        <v>0</v>
      </c>
      <c r="G26" s="94">
        <f t="shared" si="3"/>
        <v>0</v>
      </c>
    </row>
    <row r="27" spans="1:9">
      <c r="A27" s="93"/>
      <c r="B27" s="93" t="s">
        <v>69</v>
      </c>
      <c r="C27" s="94">
        <f t="shared" si="4"/>
        <v>0</v>
      </c>
      <c r="D27" s="94">
        <f t="shared" si="0"/>
        <v>0</v>
      </c>
      <c r="E27" s="94">
        <f t="shared" si="6"/>
        <v>0</v>
      </c>
      <c r="F27" s="94">
        <f t="shared" si="5"/>
        <v>0</v>
      </c>
      <c r="G27" s="94">
        <f t="shared" si="3"/>
        <v>0</v>
      </c>
    </row>
    <row r="28" spans="1:9">
      <c r="A28" s="93"/>
      <c r="B28" s="93" t="s">
        <v>70</v>
      </c>
      <c r="C28" s="94">
        <f t="shared" si="4"/>
        <v>0</v>
      </c>
      <c r="D28" s="94">
        <f t="shared" si="0"/>
        <v>0</v>
      </c>
      <c r="E28" s="94">
        <f t="shared" si="6"/>
        <v>0</v>
      </c>
      <c r="F28" s="94">
        <f t="shared" si="5"/>
        <v>0</v>
      </c>
      <c r="G28" s="94">
        <f t="shared" si="3"/>
        <v>0</v>
      </c>
    </row>
    <row r="29" spans="1:9">
      <c r="A29" s="93"/>
      <c r="B29" s="93" t="s">
        <v>71</v>
      </c>
      <c r="C29" s="94">
        <f t="shared" si="4"/>
        <v>0</v>
      </c>
      <c r="D29" s="94">
        <f t="shared" si="0"/>
        <v>0</v>
      </c>
      <c r="E29" s="94">
        <f t="shared" si="6"/>
        <v>0</v>
      </c>
      <c r="F29" s="94">
        <f t="shared" si="5"/>
        <v>0</v>
      </c>
      <c r="G29" s="94">
        <f t="shared" si="3"/>
        <v>0</v>
      </c>
    </row>
    <row r="30" spans="1:9">
      <c r="A30" s="93"/>
      <c r="B30" s="93" t="s">
        <v>72</v>
      </c>
      <c r="C30" s="94">
        <f t="shared" si="4"/>
        <v>0</v>
      </c>
      <c r="D30" s="94">
        <f t="shared" si="0"/>
        <v>0</v>
      </c>
      <c r="E30" s="94">
        <f t="shared" si="6"/>
        <v>0</v>
      </c>
      <c r="F30" s="94">
        <f t="shared" si="5"/>
        <v>0</v>
      </c>
      <c r="G30" s="94">
        <f t="shared" si="3"/>
        <v>0</v>
      </c>
    </row>
    <row r="31" spans="1:9">
      <c r="A31" s="93"/>
      <c r="B31" s="93" t="s">
        <v>73</v>
      </c>
      <c r="C31" s="94">
        <f t="shared" si="4"/>
        <v>0</v>
      </c>
      <c r="D31" s="94">
        <f t="shared" si="0"/>
        <v>0</v>
      </c>
      <c r="E31" s="94">
        <f t="shared" si="6"/>
        <v>0</v>
      </c>
      <c r="F31" s="94">
        <f t="shared" si="5"/>
        <v>0</v>
      </c>
      <c r="G31" s="94">
        <f t="shared" si="3"/>
        <v>0</v>
      </c>
    </row>
    <row r="32" spans="1:9">
      <c r="A32" s="93"/>
      <c r="B32" s="93" t="s">
        <v>74</v>
      </c>
      <c r="C32" s="94">
        <f t="shared" si="4"/>
        <v>0</v>
      </c>
      <c r="D32" s="94">
        <f t="shared" si="0"/>
        <v>0</v>
      </c>
      <c r="E32" s="94">
        <f t="shared" si="6"/>
        <v>0</v>
      </c>
      <c r="F32" s="94">
        <f t="shared" si="5"/>
        <v>0</v>
      </c>
      <c r="G32" s="94">
        <f t="shared" si="3"/>
        <v>0</v>
      </c>
    </row>
    <row r="33" spans="1:9">
      <c r="A33" s="93"/>
      <c r="B33" s="93" t="s">
        <v>75</v>
      </c>
      <c r="C33" s="94">
        <f t="shared" si="4"/>
        <v>0</v>
      </c>
      <c r="D33" s="94">
        <f t="shared" si="0"/>
        <v>0</v>
      </c>
      <c r="E33" s="94">
        <f t="shared" si="6"/>
        <v>0</v>
      </c>
      <c r="F33" s="94">
        <f t="shared" si="5"/>
        <v>0</v>
      </c>
      <c r="G33" s="94">
        <f t="shared" si="3"/>
        <v>0</v>
      </c>
      <c r="H33" s="1"/>
      <c r="I33" s="1"/>
    </row>
    <row r="34" spans="1:9">
      <c r="A34" s="93" t="s">
        <v>13</v>
      </c>
      <c r="B34" s="93" t="s">
        <v>76</v>
      </c>
      <c r="C34" s="94">
        <f t="shared" si="4"/>
        <v>0</v>
      </c>
      <c r="D34" s="94">
        <f t="shared" si="0"/>
        <v>0</v>
      </c>
      <c r="E34" s="94">
        <f t="shared" si="6"/>
        <v>0</v>
      </c>
      <c r="F34" s="94">
        <f t="shared" si="5"/>
        <v>0</v>
      </c>
      <c r="G34" s="94">
        <f t="shared" si="3"/>
        <v>0</v>
      </c>
    </row>
    <row r="35" spans="1:9">
      <c r="A35" s="93"/>
      <c r="B35" s="93" t="s">
        <v>77</v>
      </c>
      <c r="C35" s="94">
        <f t="shared" si="4"/>
        <v>0</v>
      </c>
      <c r="D35" s="94">
        <f t="shared" si="0"/>
        <v>0</v>
      </c>
      <c r="E35" s="94">
        <f t="shared" si="6"/>
        <v>0</v>
      </c>
      <c r="F35" s="94">
        <f t="shared" si="5"/>
        <v>0</v>
      </c>
      <c r="G35" s="94">
        <f t="shared" si="3"/>
        <v>0</v>
      </c>
    </row>
    <row r="36" spans="1:9">
      <c r="A36" s="93"/>
      <c r="B36" s="93" t="s">
        <v>78</v>
      </c>
      <c r="C36" s="94">
        <f t="shared" si="4"/>
        <v>0</v>
      </c>
      <c r="D36" s="94">
        <f t="shared" si="0"/>
        <v>0</v>
      </c>
      <c r="E36" s="94">
        <f t="shared" si="6"/>
        <v>0</v>
      </c>
      <c r="F36" s="94">
        <f t="shared" si="5"/>
        <v>0</v>
      </c>
      <c r="G36" s="94">
        <f t="shared" si="3"/>
        <v>0</v>
      </c>
    </row>
    <row r="37" spans="1:9">
      <c r="A37" s="93"/>
      <c r="B37" s="93" t="s">
        <v>79</v>
      </c>
      <c r="C37" s="94">
        <f t="shared" si="4"/>
        <v>0</v>
      </c>
      <c r="D37" s="94">
        <f t="shared" si="0"/>
        <v>0</v>
      </c>
      <c r="E37" s="94">
        <f t="shared" si="6"/>
        <v>0</v>
      </c>
      <c r="F37" s="94">
        <f t="shared" si="5"/>
        <v>0</v>
      </c>
      <c r="G37" s="94">
        <f t="shared" si="3"/>
        <v>0</v>
      </c>
    </row>
    <row r="38" spans="1:9">
      <c r="A38" s="93"/>
      <c r="B38" s="93" t="s">
        <v>80</v>
      </c>
      <c r="C38" s="94">
        <f t="shared" si="4"/>
        <v>0</v>
      </c>
      <c r="D38" s="94">
        <f t="shared" si="0"/>
        <v>0</v>
      </c>
      <c r="E38" s="94">
        <f t="shared" si="6"/>
        <v>0</v>
      </c>
      <c r="F38" s="94">
        <f t="shared" si="5"/>
        <v>0</v>
      </c>
      <c r="G38" s="94">
        <f t="shared" si="3"/>
        <v>0</v>
      </c>
    </row>
    <row r="39" spans="1:9">
      <c r="A39" s="93"/>
      <c r="B39" s="93" t="s">
        <v>81</v>
      </c>
      <c r="C39" s="94">
        <f t="shared" si="4"/>
        <v>0</v>
      </c>
      <c r="D39" s="94">
        <f t="shared" si="0"/>
        <v>0</v>
      </c>
      <c r="E39" s="94">
        <f t="shared" si="6"/>
        <v>0</v>
      </c>
      <c r="F39" s="94">
        <f t="shared" si="5"/>
        <v>0</v>
      </c>
      <c r="G39" s="94">
        <f t="shared" si="3"/>
        <v>0</v>
      </c>
    </row>
    <row r="40" spans="1:9">
      <c r="A40" s="93"/>
      <c r="B40" s="93" t="s">
        <v>82</v>
      </c>
      <c r="C40" s="94">
        <f t="shared" si="4"/>
        <v>0</v>
      </c>
      <c r="D40" s="94">
        <f t="shared" si="0"/>
        <v>0</v>
      </c>
      <c r="E40" s="94">
        <f t="shared" si="6"/>
        <v>0</v>
      </c>
      <c r="F40" s="94">
        <f t="shared" si="5"/>
        <v>0</v>
      </c>
      <c r="G40" s="94">
        <f t="shared" si="3"/>
        <v>0</v>
      </c>
    </row>
    <row r="41" spans="1:9">
      <c r="A41" s="93"/>
      <c r="B41" s="93" t="s">
        <v>83</v>
      </c>
      <c r="C41" s="94">
        <f t="shared" si="4"/>
        <v>0</v>
      </c>
      <c r="D41" s="94">
        <f t="shared" si="0"/>
        <v>0</v>
      </c>
      <c r="E41" s="94">
        <f t="shared" si="6"/>
        <v>0</v>
      </c>
      <c r="F41" s="94">
        <f t="shared" si="5"/>
        <v>0</v>
      </c>
      <c r="G41" s="94">
        <f t="shared" si="3"/>
        <v>0</v>
      </c>
    </row>
    <row r="42" spans="1:9">
      <c r="A42" s="93"/>
      <c r="B42" s="93" t="s">
        <v>84</v>
      </c>
      <c r="C42" s="94">
        <f t="shared" si="4"/>
        <v>0</v>
      </c>
      <c r="D42" s="94">
        <f t="shared" ref="D42:D73" si="7">C42*$D$5/12</f>
        <v>0</v>
      </c>
      <c r="E42" s="94">
        <f t="shared" si="6"/>
        <v>0</v>
      </c>
      <c r="F42" s="94">
        <f t="shared" si="5"/>
        <v>0</v>
      </c>
      <c r="G42" s="94">
        <f t="shared" si="3"/>
        <v>0</v>
      </c>
    </row>
    <row r="43" spans="1:9">
      <c r="A43" s="93"/>
      <c r="B43" s="93" t="s">
        <v>85</v>
      </c>
      <c r="C43" s="94">
        <f t="shared" si="4"/>
        <v>0</v>
      </c>
      <c r="D43" s="94">
        <f t="shared" si="7"/>
        <v>0</v>
      </c>
      <c r="E43" s="94">
        <f t="shared" si="6"/>
        <v>0</v>
      </c>
      <c r="F43" s="94">
        <f t="shared" si="5"/>
        <v>0</v>
      </c>
      <c r="G43" s="94">
        <f t="shared" si="3"/>
        <v>0</v>
      </c>
    </row>
    <row r="44" spans="1:9">
      <c r="A44" s="93"/>
      <c r="B44" s="93" t="s">
        <v>86</v>
      </c>
      <c r="C44" s="94">
        <f t="shared" si="4"/>
        <v>0</v>
      </c>
      <c r="D44" s="94">
        <f t="shared" si="7"/>
        <v>0</v>
      </c>
      <c r="E44" s="94">
        <f t="shared" si="6"/>
        <v>0</v>
      </c>
      <c r="F44" s="94">
        <f t="shared" si="5"/>
        <v>0</v>
      </c>
      <c r="G44" s="94">
        <f t="shared" si="3"/>
        <v>0</v>
      </c>
    </row>
    <row r="45" spans="1:9">
      <c r="A45" s="93"/>
      <c r="B45" s="93" t="s">
        <v>87</v>
      </c>
      <c r="C45" s="94">
        <f t="shared" si="4"/>
        <v>0</v>
      </c>
      <c r="D45" s="94">
        <f t="shared" si="7"/>
        <v>0</v>
      </c>
      <c r="E45" s="94">
        <f t="shared" si="6"/>
        <v>0</v>
      </c>
      <c r="F45" s="94">
        <f t="shared" si="5"/>
        <v>0</v>
      </c>
      <c r="G45" s="94">
        <f t="shared" si="3"/>
        <v>0</v>
      </c>
      <c r="H45" s="1"/>
      <c r="I45" s="1"/>
    </row>
    <row r="46" spans="1:9">
      <c r="A46" s="93" t="s">
        <v>14</v>
      </c>
      <c r="B46" s="93" t="s">
        <v>88</v>
      </c>
      <c r="C46" s="94">
        <f t="shared" si="4"/>
        <v>0</v>
      </c>
      <c r="D46" s="94">
        <f t="shared" si="7"/>
        <v>0</v>
      </c>
      <c r="E46" s="94">
        <f t="shared" si="6"/>
        <v>0</v>
      </c>
      <c r="F46" s="94">
        <f t="shared" si="5"/>
        <v>0</v>
      </c>
      <c r="G46" s="94">
        <f t="shared" si="3"/>
        <v>0</v>
      </c>
    </row>
    <row r="47" spans="1:9">
      <c r="A47" s="93"/>
      <c r="B47" s="93" t="s">
        <v>89</v>
      </c>
      <c r="C47" s="94">
        <f t="shared" si="4"/>
        <v>0</v>
      </c>
      <c r="D47" s="94">
        <f t="shared" si="7"/>
        <v>0</v>
      </c>
      <c r="E47" s="94">
        <f t="shared" si="6"/>
        <v>0</v>
      </c>
      <c r="F47" s="94">
        <f t="shared" si="5"/>
        <v>0</v>
      </c>
      <c r="G47" s="94">
        <f t="shared" si="3"/>
        <v>0</v>
      </c>
    </row>
    <row r="48" spans="1:9">
      <c r="A48" s="93"/>
      <c r="B48" s="93" t="s">
        <v>90</v>
      </c>
      <c r="C48" s="94">
        <f t="shared" si="4"/>
        <v>0</v>
      </c>
      <c r="D48" s="94">
        <f t="shared" si="7"/>
        <v>0</v>
      </c>
      <c r="E48" s="94">
        <f t="shared" si="6"/>
        <v>0</v>
      </c>
      <c r="F48" s="94">
        <f t="shared" si="5"/>
        <v>0</v>
      </c>
      <c r="G48" s="94">
        <f t="shared" si="3"/>
        <v>0</v>
      </c>
    </row>
    <row r="49" spans="1:9">
      <c r="A49" s="93"/>
      <c r="B49" s="93" t="s">
        <v>91</v>
      </c>
      <c r="C49" s="94">
        <f t="shared" si="4"/>
        <v>0</v>
      </c>
      <c r="D49" s="94">
        <f t="shared" si="7"/>
        <v>0</v>
      </c>
      <c r="E49" s="94">
        <f t="shared" si="6"/>
        <v>0</v>
      </c>
      <c r="F49" s="94">
        <f t="shared" si="5"/>
        <v>0</v>
      </c>
      <c r="G49" s="94">
        <f t="shared" si="3"/>
        <v>0</v>
      </c>
    </row>
    <row r="50" spans="1:9">
      <c r="A50" s="93"/>
      <c r="B50" s="93" t="s">
        <v>92</v>
      </c>
      <c r="C50" s="94">
        <f t="shared" si="4"/>
        <v>0</v>
      </c>
      <c r="D50" s="94">
        <f t="shared" si="7"/>
        <v>0</v>
      </c>
      <c r="E50" s="94">
        <f t="shared" si="6"/>
        <v>0</v>
      </c>
      <c r="F50" s="94">
        <f t="shared" si="5"/>
        <v>0</v>
      </c>
      <c r="G50" s="94">
        <f t="shared" si="3"/>
        <v>0</v>
      </c>
    </row>
    <row r="51" spans="1:9">
      <c r="A51" s="93"/>
      <c r="B51" s="93" t="s">
        <v>93</v>
      </c>
      <c r="C51" s="94">
        <f t="shared" si="4"/>
        <v>0</v>
      </c>
      <c r="D51" s="94">
        <f t="shared" si="7"/>
        <v>0</v>
      </c>
      <c r="E51" s="94">
        <f t="shared" si="6"/>
        <v>0</v>
      </c>
      <c r="F51" s="94">
        <f t="shared" si="5"/>
        <v>0</v>
      </c>
      <c r="G51" s="94">
        <f t="shared" si="3"/>
        <v>0</v>
      </c>
    </row>
    <row r="52" spans="1:9">
      <c r="A52" s="93"/>
      <c r="B52" s="93" t="s">
        <v>94</v>
      </c>
      <c r="C52" s="94">
        <f t="shared" si="4"/>
        <v>0</v>
      </c>
      <c r="D52" s="94">
        <f t="shared" si="7"/>
        <v>0</v>
      </c>
      <c r="E52" s="94">
        <f t="shared" si="6"/>
        <v>0</v>
      </c>
      <c r="F52" s="94">
        <f t="shared" si="5"/>
        <v>0</v>
      </c>
      <c r="G52" s="94">
        <f t="shared" si="3"/>
        <v>0</v>
      </c>
    </row>
    <row r="53" spans="1:9">
      <c r="A53" s="93"/>
      <c r="B53" s="93" t="s">
        <v>95</v>
      </c>
      <c r="C53" s="94">
        <f t="shared" si="4"/>
        <v>0</v>
      </c>
      <c r="D53" s="94">
        <f t="shared" si="7"/>
        <v>0</v>
      </c>
      <c r="E53" s="94">
        <f t="shared" si="6"/>
        <v>0</v>
      </c>
      <c r="F53" s="94">
        <f t="shared" si="5"/>
        <v>0</v>
      </c>
      <c r="G53" s="94">
        <f t="shared" si="3"/>
        <v>0</v>
      </c>
    </row>
    <row r="54" spans="1:9">
      <c r="A54" s="93"/>
      <c r="B54" s="93" t="s">
        <v>96</v>
      </c>
      <c r="C54" s="94">
        <f t="shared" si="4"/>
        <v>0</v>
      </c>
      <c r="D54" s="94">
        <f t="shared" si="7"/>
        <v>0</v>
      </c>
      <c r="E54" s="94">
        <f t="shared" si="6"/>
        <v>0</v>
      </c>
      <c r="F54" s="94">
        <f t="shared" si="5"/>
        <v>0</v>
      </c>
      <c r="G54" s="94">
        <f t="shared" si="3"/>
        <v>0</v>
      </c>
    </row>
    <row r="55" spans="1:9">
      <c r="A55" s="93"/>
      <c r="B55" s="93" t="s">
        <v>97</v>
      </c>
      <c r="C55" s="94">
        <f t="shared" si="4"/>
        <v>0</v>
      </c>
      <c r="D55" s="94">
        <f t="shared" si="7"/>
        <v>0</v>
      </c>
      <c r="E55" s="94">
        <f t="shared" si="6"/>
        <v>0</v>
      </c>
      <c r="F55" s="94">
        <f t="shared" si="5"/>
        <v>0</v>
      </c>
      <c r="G55" s="94">
        <f t="shared" si="3"/>
        <v>0</v>
      </c>
    </row>
    <row r="56" spans="1:9">
      <c r="A56" s="93"/>
      <c r="B56" s="93" t="s">
        <v>98</v>
      </c>
      <c r="C56" s="94">
        <f t="shared" si="4"/>
        <v>0</v>
      </c>
      <c r="D56" s="94">
        <f t="shared" si="7"/>
        <v>0</v>
      </c>
      <c r="E56" s="94">
        <f t="shared" si="6"/>
        <v>0</v>
      </c>
      <c r="F56" s="94">
        <f t="shared" si="5"/>
        <v>0</v>
      </c>
      <c r="G56" s="94">
        <f t="shared" si="3"/>
        <v>0</v>
      </c>
    </row>
    <row r="57" spans="1:9">
      <c r="A57" s="93"/>
      <c r="B57" s="93" t="s">
        <v>99</v>
      </c>
      <c r="C57" s="94">
        <f t="shared" si="4"/>
        <v>0</v>
      </c>
      <c r="D57" s="94">
        <f t="shared" si="7"/>
        <v>0</v>
      </c>
      <c r="E57" s="94">
        <f t="shared" si="6"/>
        <v>0</v>
      </c>
      <c r="F57" s="94">
        <f t="shared" si="5"/>
        <v>0</v>
      </c>
      <c r="G57" s="94">
        <f t="shared" si="3"/>
        <v>0</v>
      </c>
      <c r="H57" s="1"/>
      <c r="I57" s="1"/>
    </row>
    <row r="58" spans="1:9">
      <c r="A58" s="93" t="s">
        <v>15</v>
      </c>
      <c r="B58" s="93" t="s">
        <v>100</v>
      </c>
      <c r="C58" s="94">
        <f t="shared" si="4"/>
        <v>0</v>
      </c>
      <c r="D58" s="94">
        <f t="shared" si="7"/>
        <v>0</v>
      </c>
      <c r="E58" s="94">
        <f t="shared" si="6"/>
        <v>0</v>
      </c>
      <c r="F58" s="94">
        <f t="shared" si="5"/>
        <v>0</v>
      </c>
      <c r="G58" s="94">
        <f t="shared" si="3"/>
        <v>0</v>
      </c>
    </row>
    <row r="59" spans="1:9">
      <c r="A59" s="93"/>
      <c r="B59" s="93" t="s">
        <v>101</v>
      </c>
      <c r="C59" s="94">
        <f t="shared" si="4"/>
        <v>0</v>
      </c>
      <c r="D59" s="94">
        <f t="shared" si="7"/>
        <v>0</v>
      </c>
      <c r="E59" s="94">
        <f t="shared" si="6"/>
        <v>0</v>
      </c>
      <c r="F59" s="94">
        <f t="shared" si="5"/>
        <v>0</v>
      </c>
      <c r="G59" s="94">
        <f t="shared" si="3"/>
        <v>0</v>
      </c>
    </row>
    <row r="60" spans="1:9">
      <c r="A60" s="93"/>
      <c r="B60" s="93" t="s">
        <v>102</v>
      </c>
      <c r="C60" s="94">
        <f t="shared" si="4"/>
        <v>0</v>
      </c>
      <c r="D60" s="94">
        <f t="shared" si="7"/>
        <v>0</v>
      </c>
      <c r="E60" s="94">
        <f t="shared" si="6"/>
        <v>0</v>
      </c>
      <c r="F60" s="94">
        <f t="shared" si="5"/>
        <v>0</v>
      </c>
      <c r="G60" s="94">
        <f t="shared" si="3"/>
        <v>0</v>
      </c>
    </row>
    <row r="61" spans="1:9">
      <c r="A61" s="93"/>
      <c r="B61" s="93" t="s">
        <v>103</v>
      </c>
      <c r="C61" s="94">
        <f t="shared" si="4"/>
        <v>0</v>
      </c>
      <c r="D61" s="94">
        <f t="shared" si="7"/>
        <v>0</v>
      </c>
      <c r="E61" s="94">
        <f t="shared" si="6"/>
        <v>0</v>
      </c>
      <c r="F61" s="94">
        <f t="shared" si="5"/>
        <v>0</v>
      </c>
      <c r="G61" s="94">
        <f t="shared" si="3"/>
        <v>0</v>
      </c>
    </row>
    <row r="62" spans="1:9">
      <c r="A62" s="93"/>
      <c r="B62" s="93" t="s">
        <v>104</v>
      </c>
      <c r="C62" s="94">
        <f t="shared" si="4"/>
        <v>0</v>
      </c>
      <c r="D62" s="94">
        <f t="shared" si="7"/>
        <v>0</v>
      </c>
      <c r="E62" s="94">
        <f t="shared" si="6"/>
        <v>0</v>
      </c>
      <c r="F62" s="94">
        <f t="shared" si="5"/>
        <v>0</v>
      </c>
      <c r="G62" s="94">
        <f t="shared" si="3"/>
        <v>0</v>
      </c>
    </row>
    <row r="63" spans="1:9">
      <c r="A63" s="93"/>
      <c r="B63" s="93" t="s">
        <v>105</v>
      </c>
      <c r="C63" s="94">
        <f t="shared" si="4"/>
        <v>0</v>
      </c>
      <c r="D63" s="94">
        <f t="shared" si="7"/>
        <v>0</v>
      </c>
      <c r="E63" s="94">
        <f t="shared" si="6"/>
        <v>0</v>
      </c>
      <c r="F63" s="94">
        <f t="shared" si="5"/>
        <v>0</v>
      </c>
      <c r="G63" s="94">
        <f t="shared" si="3"/>
        <v>0</v>
      </c>
    </row>
    <row r="64" spans="1:9">
      <c r="A64" s="93"/>
      <c r="B64" s="93" t="s">
        <v>106</v>
      </c>
      <c r="C64" s="94">
        <f t="shared" si="4"/>
        <v>0</v>
      </c>
      <c r="D64" s="94">
        <f t="shared" si="7"/>
        <v>0</v>
      </c>
      <c r="E64" s="94">
        <f t="shared" si="6"/>
        <v>0</v>
      </c>
      <c r="F64" s="94">
        <f t="shared" si="5"/>
        <v>0</v>
      </c>
      <c r="G64" s="94">
        <f t="shared" si="3"/>
        <v>0</v>
      </c>
    </row>
    <row r="65" spans="1:9">
      <c r="A65" s="93"/>
      <c r="B65" s="93" t="s">
        <v>107</v>
      </c>
      <c r="C65" s="94">
        <f t="shared" si="4"/>
        <v>0</v>
      </c>
      <c r="D65" s="94">
        <f t="shared" si="7"/>
        <v>0</v>
      </c>
      <c r="E65" s="94">
        <f t="shared" si="6"/>
        <v>0</v>
      </c>
      <c r="F65" s="94">
        <f t="shared" si="5"/>
        <v>0</v>
      </c>
      <c r="G65" s="94">
        <f t="shared" si="3"/>
        <v>0</v>
      </c>
    </row>
    <row r="66" spans="1:9">
      <c r="A66" s="93"/>
      <c r="B66" s="93" t="s">
        <v>108</v>
      </c>
      <c r="C66" s="94">
        <f t="shared" si="4"/>
        <v>0</v>
      </c>
      <c r="D66" s="94">
        <f t="shared" si="7"/>
        <v>0</v>
      </c>
      <c r="E66" s="94">
        <f t="shared" si="6"/>
        <v>0</v>
      </c>
      <c r="F66" s="94">
        <f t="shared" si="5"/>
        <v>0</v>
      </c>
      <c r="G66" s="94">
        <f t="shared" si="3"/>
        <v>0</v>
      </c>
    </row>
    <row r="67" spans="1:9">
      <c r="A67" s="93"/>
      <c r="B67" s="93" t="s">
        <v>109</v>
      </c>
      <c r="C67" s="94">
        <f t="shared" si="4"/>
        <v>0</v>
      </c>
      <c r="D67" s="94">
        <f t="shared" si="7"/>
        <v>0</v>
      </c>
      <c r="E67" s="94">
        <f t="shared" si="6"/>
        <v>0</v>
      </c>
      <c r="F67" s="94">
        <f t="shared" si="5"/>
        <v>0</v>
      </c>
      <c r="G67" s="94">
        <f t="shared" si="3"/>
        <v>0</v>
      </c>
    </row>
    <row r="68" spans="1:9">
      <c r="A68" s="93"/>
      <c r="B68" s="93" t="s">
        <v>110</v>
      </c>
      <c r="C68" s="94">
        <f t="shared" si="4"/>
        <v>0</v>
      </c>
      <c r="D68" s="94">
        <f t="shared" si="7"/>
        <v>0</v>
      </c>
      <c r="E68" s="94">
        <f t="shared" si="6"/>
        <v>0</v>
      </c>
      <c r="F68" s="94">
        <f t="shared" si="5"/>
        <v>0</v>
      </c>
      <c r="G68" s="94">
        <f t="shared" si="3"/>
        <v>0</v>
      </c>
    </row>
    <row r="69" spans="1:9">
      <c r="A69" s="93"/>
      <c r="B69" s="93" t="s">
        <v>111</v>
      </c>
      <c r="C69" s="94">
        <f t="shared" si="4"/>
        <v>0</v>
      </c>
      <c r="D69" s="94">
        <f t="shared" si="7"/>
        <v>0</v>
      </c>
      <c r="E69" s="94">
        <f t="shared" si="6"/>
        <v>0</v>
      </c>
      <c r="F69" s="94">
        <f t="shared" si="5"/>
        <v>0</v>
      </c>
      <c r="G69" s="94">
        <f t="shared" si="3"/>
        <v>0</v>
      </c>
      <c r="H69" s="1"/>
      <c r="I69" s="1"/>
    </row>
    <row r="70" spans="1:9">
      <c r="A70" s="93" t="s">
        <v>16</v>
      </c>
      <c r="B70" s="93" t="s">
        <v>112</v>
      </c>
      <c r="C70" s="94">
        <f t="shared" si="4"/>
        <v>0</v>
      </c>
      <c r="D70" s="94">
        <f t="shared" si="7"/>
        <v>0</v>
      </c>
      <c r="E70" s="94">
        <f t="shared" si="6"/>
        <v>0</v>
      </c>
      <c r="F70" s="94">
        <f t="shared" si="5"/>
        <v>0</v>
      </c>
      <c r="G70" s="94">
        <f t="shared" si="3"/>
        <v>0</v>
      </c>
    </row>
    <row r="71" spans="1:9">
      <c r="A71" s="93"/>
      <c r="B71" s="93" t="s">
        <v>113</v>
      </c>
      <c r="C71" s="94">
        <f t="shared" si="4"/>
        <v>0</v>
      </c>
      <c r="D71" s="94">
        <f t="shared" si="7"/>
        <v>0</v>
      </c>
      <c r="E71" s="94">
        <f t="shared" si="6"/>
        <v>0</v>
      </c>
      <c r="F71" s="94">
        <f t="shared" si="5"/>
        <v>0</v>
      </c>
      <c r="G71" s="94">
        <f t="shared" si="3"/>
        <v>0</v>
      </c>
    </row>
    <row r="72" spans="1:9">
      <c r="A72" s="93"/>
      <c r="B72" s="93" t="s">
        <v>114</v>
      </c>
      <c r="C72" s="94">
        <f t="shared" si="4"/>
        <v>0</v>
      </c>
      <c r="D72" s="94">
        <f t="shared" si="7"/>
        <v>0</v>
      </c>
      <c r="E72" s="94">
        <f t="shared" si="6"/>
        <v>0</v>
      </c>
      <c r="F72" s="94">
        <f t="shared" si="5"/>
        <v>0</v>
      </c>
      <c r="G72" s="94">
        <f t="shared" si="3"/>
        <v>0</v>
      </c>
    </row>
    <row r="73" spans="1:9">
      <c r="A73" s="93"/>
      <c r="B73" s="93" t="s">
        <v>115</v>
      </c>
      <c r="C73" s="94">
        <f t="shared" si="4"/>
        <v>0</v>
      </c>
      <c r="D73" s="94">
        <f t="shared" si="7"/>
        <v>0</v>
      </c>
      <c r="E73" s="94">
        <f t="shared" si="6"/>
        <v>0</v>
      </c>
      <c r="F73" s="94">
        <f t="shared" si="5"/>
        <v>0</v>
      </c>
      <c r="G73" s="94">
        <f t="shared" si="3"/>
        <v>0</v>
      </c>
    </row>
    <row r="74" spans="1:9">
      <c r="A74" s="93"/>
      <c r="B74" s="93" t="s">
        <v>116</v>
      </c>
      <c r="C74" s="94">
        <f t="shared" si="4"/>
        <v>0</v>
      </c>
      <c r="D74" s="94">
        <f t="shared" ref="D74:D93" si="8">C74*$D$5/12</f>
        <v>0</v>
      </c>
      <c r="E74" s="94">
        <f t="shared" si="6"/>
        <v>0</v>
      </c>
      <c r="F74" s="94">
        <f t="shared" si="5"/>
        <v>0</v>
      </c>
      <c r="G74" s="94">
        <f t="shared" si="3"/>
        <v>0</v>
      </c>
    </row>
    <row r="75" spans="1:9">
      <c r="A75" s="93"/>
      <c r="B75" s="93" t="s">
        <v>117</v>
      </c>
      <c r="C75" s="94">
        <f t="shared" si="4"/>
        <v>0</v>
      </c>
      <c r="D75" s="94">
        <f t="shared" si="8"/>
        <v>0</v>
      </c>
      <c r="E75" s="94">
        <f t="shared" si="6"/>
        <v>0</v>
      </c>
      <c r="F75" s="94">
        <f t="shared" ref="F75:F93" si="9">$D$8</f>
        <v>0</v>
      </c>
      <c r="G75" s="94">
        <f t="shared" ref="G75:G93" si="10">C75-E75</f>
        <v>0</v>
      </c>
    </row>
    <row r="76" spans="1:9">
      <c r="A76" s="93"/>
      <c r="B76" s="93" t="s">
        <v>118</v>
      </c>
      <c r="C76" s="94">
        <f t="shared" ref="C76:C93" si="11">G75</f>
        <v>0</v>
      </c>
      <c r="D76" s="94">
        <f t="shared" si="8"/>
        <v>0</v>
      </c>
      <c r="E76" s="94">
        <f t="shared" si="6"/>
        <v>0</v>
      </c>
      <c r="F76" s="94">
        <f t="shared" si="9"/>
        <v>0</v>
      </c>
      <c r="G76" s="94">
        <f t="shared" si="10"/>
        <v>0</v>
      </c>
    </row>
    <row r="77" spans="1:9">
      <c r="A77" s="93"/>
      <c r="B77" s="93" t="s">
        <v>119</v>
      </c>
      <c r="C77" s="94">
        <f t="shared" si="11"/>
        <v>0</v>
      </c>
      <c r="D77" s="94">
        <f t="shared" si="8"/>
        <v>0</v>
      </c>
      <c r="E77" s="94">
        <f t="shared" si="6"/>
        <v>0</v>
      </c>
      <c r="F77" s="94">
        <f t="shared" si="9"/>
        <v>0</v>
      </c>
      <c r="G77" s="94">
        <f t="shared" si="10"/>
        <v>0</v>
      </c>
    </row>
    <row r="78" spans="1:9">
      <c r="A78" s="93"/>
      <c r="B78" s="93" t="s">
        <v>120</v>
      </c>
      <c r="C78" s="94">
        <f t="shared" si="11"/>
        <v>0</v>
      </c>
      <c r="D78" s="94">
        <f t="shared" si="8"/>
        <v>0</v>
      </c>
      <c r="E78" s="94">
        <f t="shared" si="6"/>
        <v>0</v>
      </c>
      <c r="F78" s="94">
        <f t="shared" si="9"/>
        <v>0</v>
      </c>
      <c r="G78" s="94">
        <f t="shared" si="10"/>
        <v>0</v>
      </c>
    </row>
    <row r="79" spans="1:9">
      <c r="A79" s="93"/>
      <c r="B79" s="93" t="s">
        <v>121</v>
      </c>
      <c r="C79" s="94">
        <f t="shared" si="11"/>
        <v>0</v>
      </c>
      <c r="D79" s="94">
        <f t="shared" si="8"/>
        <v>0</v>
      </c>
      <c r="E79" s="94">
        <f t="shared" si="6"/>
        <v>0</v>
      </c>
      <c r="F79" s="94">
        <f t="shared" si="9"/>
        <v>0</v>
      </c>
      <c r="G79" s="94">
        <f t="shared" si="10"/>
        <v>0</v>
      </c>
    </row>
    <row r="80" spans="1:9">
      <c r="A80" s="93"/>
      <c r="B80" s="93" t="s">
        <v>122</v>
      </c>
      <c r="C80" s="94">
        <f t="shared" si="11"/>
        <v>0</v>
      </c>
      <c r="D80" s="94">
        <f t="shared" si="8"/>
        <v>0</v>
      </c>
      <c r="E80" s="94">
        <f t="shared" si="6"/>
        <v>0</v>
      </c>
      <c r="F80" s="94">
        <f t="shared" si="9"/>
        <v>0</v>
      </c>
      <c r="G80" s="94">
        <f t="shared" si="10"/>
        <v>0</v>
      </c>
    </row>
    <row r="81" spans="1:9">
      <c r="A81" s="93"/>
      <c r="B81" s="93" t="s">
        <v>123</v>
      </c>
      <c r="C81" s="94">
        <f t="shared" si="11"/>
        <v>0</v>
      </c>
      <c r="D81" s="94">
        <f t="shared" si="8"/>
        <v>0</v>
      </c>
      <c r="E81" s="94">
        <f t="shared" ref="E81:E93" si="12">F81-D81</f>
        <v>0</v>
      </c>
      <c r="F81" s="94">
        <f t="shared" si="9"/>
        <v>0</v>
      </c>
      <c r="G81" s="94">
        <f t="shared" si="10"/>
        <v>0</v>
      </c>
      <c r="H81" s="1"/>
      <c r="I81" s="1"/>
    </row>
    <row r="82" spans="1:9">
      <c r="A82" s="93" t="s">
        <v>268</v>
      </c>
      <c r="B82" s="93" t="s">
        <v>203</v>
      </c>
      <c r="C82" s="94">
        <f t="shared" si="11"/>
        <v>0</v>
      </c>
      <c r="D82" s="94">
        <f t="shared" si="8"/>
        <v>0</v>
      </c>
      <c r="E82" s="94">
        <f t="shared" si="12"/>
        <v>0</v>
      </c>
      <c r="F82" s="94">
        <f t="shared" si="9"/>
        <v>0</v>
      </c>
      <c r="G82" s="94">
        <f t="shared" si="10"/>
        <v>0</v>
      </c>
    </row>
    <row r="83" spans="1:9">
      <c r="A83" s="93"/>
      <c r="B83" s="93" t="s">
        <v>204</v>
      </c>
      <c r="C83" s="94">
        <f t="shared" si="11"/>
        <v>0</v>
      </c>
      <c r="D83" s="94">
        <f t="shared" si="8"/>
        <v>0</v>
      </c>
      <c r="E83" s="94">
        <f t="shared" si="12"/>
        <v>0</v>
      </c>
      <c r="F83" s="94">
        <f t="shared" si="9"/>
        <v>0</v>
      </c>
      <c r="G83" s="94">
        <f t="shared" si="10"/>
        <v>0</v>
      </c>
    </row>
    <row r="84" spans="1:9">
      <c r="A84" s="93"/>
      <c r="B84" s="93" t="s">
        <v>205</v>
      </c>
      <c r="C84" s="94">
        <f t="shared" si="11"/>
        <v>0</v>
      </c>
      <c r="D84" s="94">
        <f t="shared" si="8"/>
        <v>0</v>
      </c>
      <c r="E84" s="94">
        <f t="shared" si="12"/>
        <v>0</v>
      </c>
      <c r="F84" s="94">
        <f t="shared" si="9"/>
        <v>0</v>
      </c>
      <c r="G84" s="94">
        <f t="shared" si="10"/>
        <v>0</v>
      </c>
    </row>
    <row r="85" spans="1:9">
      <c r="A85" s="93"/>
      <c r="B85" s="93" t="s">
        <v>206</v>
      </c>
      <c r="C85" s="94">
        <f t="shared" si="11"/>
        <v>0</v>
      </c>
      <c r="D85" s="94">
        <f t="shared" si="8"/>
        <v>0</v>
      </c>
      <c r="E85" s="94">
        <f t="shared" si="12"/>
        <v>0</v>
      </c>
      <c r="F85" s="94">
        <f t="shared" si="9"/>
        <v>0</v>
      </c>
      <c r="G85" s="94">
        <f t="shared" si="10"/>
        <v>0</v>
      </c>
    </row>
    <row r="86" spans="1:9">
      <c r="A86" s="93"/>
      <c r="B86" s="93" t="s">
        <v>207</v>
      </c>
      <c r="C86" s="94">
        <f t="shared" si="11"/>
        <v>0</v>
      </c>
      <c r="D86" s="94">
        <f t="shared" si="8"/>
        <v>0</v>
      </c>
      <c r="E86" s="94">
        <f t="shared" si="12"/>
        <v>0</v>
      </c>
      <c r="F86" s="94">
        <f t="shared" si="9"/>
        <v>0</v>
      </c>
      <c r="G86" s="94">
        <f t="shared" si="10"/>
        <v>0</v>
      </c>
    </row>
    <row r="87" spans="1:9">
      <c r="A87" s="93"/>
      <c r="B87" s="93" t="s">
        <v>208</v>
      </c>
      <c r="C87" s="94">
        <f t="shared" si="11"/>
        <v>0</v>
      </c>
      <c r="D87" s="94">
        <f t="shared" si="8"/>
        <v>0</v>
      </c>
      <c r="E87" s="94">
        <f t="shared" si="12"/>
        <v>0</v>
      </c>
      <c r="F87" s="94">
        <f t="shared" si="9"/>
        <v>0</v>
      </c>
      <c r="G87" s="94">
        <f t="shared" si="10"/>
        <v>0</v>
      </c>
    </row>
    <row r="88" spans="1:9">
      <c r="A88" s="93"/>
      <c r="B88" s="93" t="s">
        <v>209</v>
      </c>
      <c r="C88" s="94">
        <f t="shared" si="11"/>
        <v>0</v>
      </c>
      <c r="D88" s="94">
        <f t="shared" si="8"/>
        <v>0</v>
      </c>
      <c r="E88" s="94">
        <f t="shared" si="12"/>
        <v>0</v>
      </c>
      <c r="F88" s="94">
        <f t="shared" si="9"/>
        <v>0</v>
      </c>
      <c r="G88" s="94">
        <f t="shared" si="10"/>
        <v>0</v>
      </c>
    </row>
    <row r="89" spans="1:9">
      <c r="A89" s="93"/>
      <c r="B89" s="93" t="s">
        <v>210</v>
      </c>
      <c r="C89" s="94">
        <f t="shared" si="11"/>
        <v>0</v>
      </c>
      <c r="D89" s="94">
        <f t="shared" si="8"/>
        <v>0</v>
      </c>
      <c r="E89" s="94">
        <f t="shared" si="12"/>
        <v>0</v>
      </c>
      <c r="F89" s="94">
        <f t="shared" si="9"/>
        <v>0</v>
      </c>
      <c r="G89" s="94">
        <f t="shared" si="10"/>
        <v>0</v>
      </c>
    </row>
    <row r="90" spans="1:9">
      <c r="A90" s="93"/>
      <c r="B90" s="93" t="s">
        <v>211</v>
      </c>
      <c r="C90" s="94">
        <f t="shared" si="11"/>
        <v>0</v>
      </c>
      <c r="D90" s="94">
        <f t="shared" si="8"/>
        <v>0</v>
      </c>
      <c r="E90" s="94">
        <f t="shared" si="12"/>
        <v>0</v>
      </c>
      <c r="F90" s="94">
        <f t="shared" si="9"/>
        <v>0</v>
      </c>
      <c r="G90" s="94">
        <f t="shared" si="10"/>
        <v>0</v>
      </c>
    </row>
    <row r="91" spans="1:9">
      <c r="A91" s="93"/>
      <c r="B91" s="93" t="s">
        <v>212</v>
      </c>
      <c r="C91" s="94">
        <f t="shared" si="11"/>
        <v>0</v>
      </c>
      <c r="D91" s="94">
        <f t="shared" si="8"/>
        <v>0</v>
      </c>
      <c r="E91" s="94">
        <f t="shared" si="12"/>
        <v>0</v>
      </c>
      <c r="F91" s="94">
        <f t="shared" si="9"/>
        <v>0</v>
      </c>
      <c r="G91" s="94">
        <f t="shared" si="10"/>
        <v>0</v>
      </c>
    </row>
    <row r="92" spans="1:9">
      <c r="A92" s="93"/>
      <c r="B92" s="93" t="s">
        <v>213</v>
      </c>
      <c r="C92" s="94">
        <f t="shared" si="11"/>
        <v>0</v>
      </c>
      <c r="D92" s="94">
        <f t="shared" si="8"/>
        <v>0</v>
      </c>
      <c r="E92" s="94">
        <f t="shared" si="12"/>
        <v>0</v>
      </c>
      <c r="F92" s="94">
        <f t="shared" si="9"/>
        <v>0</v>
      </c>
      <c r="G92" s="94">
        <f t="shared" si="10"/>
        <v>0</v>
      </c>
    </row>
    <row r="93" spans="1:9">
      <c r="A93" s="93"/>
      <c r="B93" s="93" t="s">
        <v>214</v>
      </c>
      <c r="C93" s="94">
        <f t="shared" si="11"/>
        <v>0</v>
      </c>
      <c r="D93" s="94">
        <f t="shared" si="8"/>
        <v>0</v>
      </c>
      <c r="E93" s="94">
        <f t="shared" si="12"/>
        <v>0</v>
      </c>
      <c r="F93" s="94">
        <f t="shared" si="9"/>
        <v>0</v>
      </c>
      <c r="G93" s="94">
        <f t="shared" si="10"/>
        <v>0</v>
      </c>
    </row>
    <row r="94" spans="1:9">
      <c r="A94" s="92"/>
      <c r="B94" s="92"/>
      <c r="C94" s="92"/>
      <c r="D94" s="101">
        <f>SUM(D10:D93)</f>
        <v>0</v>
      </c>
      <c r="E94" s="101">
        <f>SUM(E10:E93)</f>
        <v>0</v>
      </c>
      <c r="F94" s="92"/>
      <c r="G94" s="92"/>
    </row>
    <row r="95" spans="1:9" ht="39.950000000000003" customHeight="1">
      <c r="A95" s="436" t="s">
        <v>397</v>
      </c>
      <c r="B95" s="436"/>
      <c r="C95" s="436"/>
      <c r="D95" s="436"/>
      <c r="E95" s="436"/>
      <c r="F95" s="436"/>
      <c r="G95" s="436"/>
      <c r="H95" s="436"/>
    </row>
    <row r="96" spans="1:9">
      <c r="A96" t="s">
        <v>483</v>
      </c>
    </row>
    <row r="97" spans="1:2">
      <c r="A97">
        <v>1</v>
      </c>
      <c r="B97" t="s">
        <v>484</v>
      </c>
    </row>
    <row r="98" spans="1:2">
      <c r="A98">
        <v>2</v>
      </c>
      <c r="B98" t="s">
        <v>485</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3"/>
  <sheetViews>
    <sheetView view="pageBreakPreview" topLeftCell="A21" zoomScale="80" zoomScaleSheetLayoutView="80" workbookViewId="0">
      <selection activeCell="H46" sqref="H46"/>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9" t="s">
        <v>506</v>
      </c>
      <c r="D2" s="419"/>
      <c r="E2" s="419"/>
      <c r="F2" s="419"/>
      <c r="G2" s="419"/>
      <c r="H2" s="419"/>
      <c r="I2" s="419"/>
      <c r="J2" s="419"/>
      <c r="K2" s="419"/>
      <c r="L2" s="203"/>
    </row>
    <row r="4" spans="3:22">
      <c r="C4" s="80" t="s">
        <v>0</v>
      </c>
      <c r="D4" s="80"/>
      <c r="E4" s="81" t="s">
        <v>2</v>
      </c>
      <c r="F4" s="81" t="s">
        <v>3</v>
      </c>
      <c r="G4" s="81" t="s">
        <v>4</v>
      </c>
      <c r="H4" s="81" t="s">
        <v>5</v>
      </c>
      <c r="I4" s="81" t="s">
        <v>6</v>
      </c>
      <c r="J4" s="81" t="s">
        <v>168</v>
      </c>
      <c r="K4" s="81" t="s">
        <v>167</v>
      </c>
      <c r="L4" s="92"/>
      <c r="M4" s="92"/>
      <c r="N4" s="244"/>
      <c r="O4" s="244"/>
      <c r="P4" s="244"/>
      <c r="Q4" s="244"/>
      <c r="R4" s="244"/>
      <c r="S4" s="244"/>
      <c r="T4" s="244"/>
      <c r="U4" s="244"/>
      <c r="V4" s="244"/>
    </row>
    <row r="5" spans="3:22">
      <c r="C5" s="93" t="s">
        <v>346</v>
      </c>
      <c r="D5" s="93"/>
      <c r="E5" s="93"/>
      <c r="F5" s="93"/>
      <c r="G5" s="93"/>
      <c r="H5" s="93"/>
      <c r="I5" s="93"/>
      <c r="J5" s="93"/>
      <c r="K5" s="93"/>
      <c r="L5" s="92"/>
      <c r="M5" s="92"/>
      <c r="N5" s="437" t="s">
        <v>480</v>
      </c>
      <c r="O5" s="437"/>
      <c r="P5" s="437"/>
      <c r="Q5" s="437"/>
      <c r="R5" s="437"/>
      <c r="S5" s="244"/>
      <c r="T5" s="244"/>
      <c r="U5" s="437" t="s">
        <v>481</v>
      </c>
      <c r="V5" s="437"/>
    </row>
    <row r="6" spans="3:22">
      <c r="C6" s="93" t="s">
        <v>413</v>
      </c>
      <c r="D6" s="188"/>
      <c r="E6" s="93"/>
      <c r="F6" s="94">
        <f t="shared" ref="F6:K7" si="0">E13</f>
        <v>1975890.3773735892</v>
      </c>
      <c r="G6" s="94">
        <f t="shared" si="0"/>
        <v>2282153.3858664962</v>
      </c>
      <c r="H6" s="94">
        <f t="shared" si="0"/>
        <v>2614102.9692652589</v>
      </c>
      <c r="I6" s="94">
        <f t="shared" si="0"/>
        <v>2973542.1275392324</v>
      </c>
      <c r="J6" s="94">
        <f t="shared" si="0"/>
        <v>3362389.9442174397</v>
      </c>
      <c r="K6" s="94">
        <f t="shared" si="0"/>
        <v>3782688.6872446202</v>
      </c>
      <c r="L6" s="92"/>
      <c r="M6" s="92"/>
      <c r="N6" s="245" t="s">
        <v>0</v>
      </c>
      <c r="O6" s="245" t="s">
        <v>162</v>
      </c>
      <c r="P6" s="245" t="s">
        <v>163</v>
      </c>
      <c r="Q6" s="245" t="s">
        <v>295</v>
      </c>
      <c r="R6" s="245" t="s">
        <v>296</v>
      </c>
      <c r="S6" s="244"/>
      <c r="T6" s="244"/>
      <c r="U6" s="327" t="s">
        <v>0</v>
      </c>
      <c r="V6" s="327" t="s">
        <v>453</v>
      </c>
    </row>
    <row r="7" spans="3:22">
      <c r="C7" s="93" t="s">
        <v>497</v>
      </c>
      <c r="D7" s="188"/>
      <c r="E7" s="93"/>
      <c r="F7" s="94">
        <f t="shared" si="0"/>
        <v>411507.88632771425</v>
      </c>
      <c r="G7" s="94">
        <f t="shared" si="0"/>
        <v>460888.83268704015</v>
      </c>
      <c r="H7" s="94">
        <f t="shared" si="0"/>
        <v>514179.10396647902</v>
      </c>
      <c r="I7" s="94">
        <f t="shared" si="0"/>
        <v>571646.1802921443</v>
      </c>
      <c r="J7" s="94">
        <f t="shared" si="0"/>
        <v>633574.51649046002</v>
      </c>
      <c r="K7" s="94">
        <f t="shared" si="0"/>
        <v>700266.57085787703</v>
      </c>
      <c r="L7" s="92"/>
      <c r="M7" s="92"/>
      <c r="N7" s="246" t="s">
        <v>347</v>
      </c>
      <c r="O7" s="246">
        <f>'13.Facility 2 Grain Processing'!C157</f>
        <v>0</v>
      </c>
      <c r="P7" s="246">
        <f>'13.Facility 2 Grain Processing'!C158</f>
        <v>2750</v>
      </c>
      <c r="Q7" s="246">
        <f>'13.Facility 2 Grain Processing'!C159</f>
        <v>0</v>
      </c>
      <c r="R7" s="246">
        <f>'13.Facility 2 Grain Processing'!C160</f>
        <v>0</v>
      </c>
      <c r="S7" s="244"/>
      <c r="T7" s="244"/>
      <c r="U7" s="246" t="s">
        <v>322</v>
      </c>
      <c r="V7" s="246" t="e">
        <f>#REF!</f>
        <v>#REF!</v>
      </c>
    </row>
    <row r="8" spans="3:22">
      <c r="C8" s="93"/>
      <c r="D8" s="93"/>
      <c r="E8" s="93"/>
      <c r="F8" s="94"/>
      <c r="G8" s="94"/>
      <c r="H8" s="94"/>
      <c r="I8" s="94"/>
      <c r="J8" s="94"/>
      <c r="K8" s="94"/>
      <c r="L8" s="92"/>
      <c r="M8" s="92"/>
      <c r="N8" s="246" t="str">
        <f>'13.Facility 2 Grain Processing'!A162</f>
        <v xml:space="preserve">Daily Labour </v>
      </c>
      <c r="O8" s="248">
        <f>('13.Facility 2 Grain Processing'!B162*'13.Facility 2 Grain Processing'!C162)/('13.Facility 2 Grain Processing'!B5*'13.Facility 2 Grain Processing'!B6)</f>
        <v>64.285714285714292</v>
      </c>
      <c r="P8" s="248">
        <f>O8</f>
        <v>64.285714285714292</v>
      </c>
      <c r="Q8" s="248">
        <f t="shared" ref="Q8:R8" si="1">P8</f>
        <v>64.285714285714292</v>
      </c>
      <c r="R8" s="248">
        <f t="shared" si="1"/>
        <v>64.285714285714292</v>
      </c>
      <c r="S8" s="244"/>
      <c r="T8" s="244"/>
      <c r="U8" s="246" t="e">
        <f>#REF!</f>
        <v>#REF!</v>
      </c>
      <c r="V8" s="247" t="e">
        <f>#REF!*#REF!/(#REF!*#REF!)</f>
        <v>#REF!</v>
      </c>
    </row>
    <row r="9" spans="3:22">
      <c r="C9" s="93"/>
      <c r="D9" s="93"/>
      <c r="E9" s="93"/>
      <c r="F9" s="94"/>
      <c r="G9" s="94"/>
      <c r="H9" s="94"/>
      <c r="I9" s="94"/>
      <c r="J9" s="94"/>
      <c r="K9" s="94"/>
      <c r="L9" s="92"/>
      <c r="M9" s="92"/>
      <c r="N9" s="246" t="str">
        <f>'13.Facility 2 Grain Processing'!A163</f>
        <v>Electricity Charges</v>
      </c>
      <c r="O9" s="248">
        <f>('13.Facility 2 Grain Processing'!B163*'13.Facility 2 Grain Processing'!C163)/('13.Facility 2 Grain Processing'!B5*'13.Facility 2 Grain Processing'!B6)</f>
        <v>41.776000000000003</v>
      </c>
      <c r="P9" s="248">
        <f>O9</f>
        <v>41.776000000000003</v>
      </c>
      <c r="Q9" s="248">
        <f t="shared" ref="Q9" si="2">P9</f>
        <v>41.776000000000003</v>
      </c>
      <c r="R9" s="248">
        <f t="shared" ref="R9" si="3">Q9</f>
        <v>41.776000000000003</v>
      </c>
      <c r="S9" s="244"/>
      <c r="T9" s="244"/>
      <c r="U9" s="246" t="e">
        <f>#REF!</f>
        <v>#REF!</v>
      </c>
      <c r="V9" s="246" t="e">
        <f>#REF!*#REF!/(#REF!*#REF!)</f>
        <v>#REF!</v>
      </c>
    </row>
    <row r="10" spans="3:22">
      <c r="C10" s="93" t="s">
        <v>1</v>
      </c>
      <c r="D10" s="93"/>
      <c r="E10" s="94"/>
      <c r="F10" s="94">
        <f t="shared" ref="F10:K10" si="4">SUM(F6:F9)</f>
        <v>2387398.2637013034</v>
      </c>
      <c r="G10" s="94">
        <f t="shared" si="4"/>
        <v>2743042.2185535366</v>
      </c>
      <c r="H10" s="94">
        <f t="shared" si="4"/>
        <v>3128282.0732317381</v>
      </c>
      <c r="I10" s="94">
        <f t="shared" si="4"/>
        <v>3545188.3078313768</v>
      </c>
      <c r="J10" s="94">
        <f t="shared" si="4"/>
        <v>3995964.4607078996</v>
      </c>
      <c r="K10" s="94">
        <f t="shared" si="4"/>
        <v>4482955.2581024971</v>
      </c>
      <c r="L10" s="92"/>
      <c r="M10" s="92"/>
      <c r="N10" s="246" t="str">
        <f>'13.Facility 2 Grain Processing'!A164</f>
        <v>Loading/Unloading Charges</v>
      </c>
      <c r="O10" s="246">
        <f>'13.Facility 2 Grain Processing'!C164*2</f>
        <v>0</v>
      </c>
      <c r="P10" s="246">
        <f>O10</f>
        <v>0</v>
      </c>
      <c r="Q10" s="246">
        <f t="shared" ref="Q10:R11" si="5">P10</f>
        <v>0</v>
      </c>
      <c r="R10" s="246">
        <f t="shared" si="5"/>
        <v>0</v>
      </c>
      <c r="S10" s="244"/>
      <c r="T10" s="244"/>
      <c r="U10" s="246" t="e">
        <f>#REF!</f>
        <v>#REF!</v>
      </c>
      <c r="V10" s="246" t="e">
        <f>#REF!</f>
        <v>#REF!</v>
      </c>
    </row>
    <row r="11" spans="3:22">
      <c r="C11" s="93"/>
      <c r="D11" s="93"/>
      <c r="E11" s="93"/>
      <c r="F11" s="94"/>
      <c r="G11" s="94"/>
      <c r="H11" s="94"/>
      <c r="I11" s="94"/>
      <c r="J11" s="94"/>
      <c r="K11" s="94"/>
      <c r="L11" s="92"/>
      <c r="M11" s="92"/>
      <c r="N11" s="246" t="str">
        <f>'13.Facility 2 Grain Processing'!A165</f>
        <v>packaging Exp</v>
      </c>
      <c r="O11" s="246">
        <f>'13.Facility 2 Grain Processing'!C165*2</f>
        <v>50</v>
      </c>
      <c r="P11" s="246">
        <f>O11</f>
        <v>50</v>
      </c>
      <c r="Q11" s="246">
        <f t="shared" si="5"/>
        <v>50</v>
      </c>
      <c r="R11" s="246">
        <f t="shared" si="5"/>
        <v>50</v>
      </c>
      <c r="S11" s="244"/>
      <c r="T11" s="244"/>
      <c r="U11" s="246" t="e">
        <f>#REF!</f>
        <v>#REF!</v>
      </c>
      <c r="V11" s="10" t="e">
        <f>#REF!*100</f>
        <v>#REF!</v>
      </c>
    </row>
    <row r="12" spans="3:22">
      <c r="C12" s="95" t="s">
        <v>324</v>
      </c>
      <c r="D12" s="93"/>
      <c r="E12" s="93"/>
      <c r="F12" s="94"/>
      <c r="G12" s="94"/>
      <c r="H12" s="94"/>
      <c r="I12" s="94"/>
      <c r="J12" s="94"/>
      <c r="K12" s="94"/>
      <c r="L12" s="92"/>
      <c r="M12" s="92"/>
      <c r="N12" s="246"/>
      <c r="O12" s="10"/>
      <c r="P12" s="10"/>
      <c r="Q12" s="10"/>
      <c r="R12" s="10"/>
      <c r="S12" s="244"/>
      <c r="T12" s="244"/>
      <c r="U12" s="10"/>
      <c r="V12" s="10"/>
    </row>
    <row r="13" spans="3:22">
      <c r="C13" s="93" t="str">
        <f>C6</f>
        <v>Trading</v>
      </c>
      <c r="D13" s="271">
        <v>0.05</v>
      </c>
      <c r="E13" s="94">
        <f>SUM('12.Facility 1 - Trading'!D233:D284)*$D$13</f>
        <v>1975890.3773735892</v>
      </c>
      <c r="F13" s="94">
        <f>SUM('12.Facility 1 - Trading'!E233:E284)*$D$13</f>
        <v>2282153.3858664962</v>
      </c>
      <c r="G13" s="94">
        <f>SUM('12.Facility 1 - Trading'!F233:F284)*$D$13</f>
        <v>2614102.9692652589</v>
      </c>
      <c r="H13" s="94">
        <f>SUM('12.Facility 1 - Trading'!G233:G284)*$D$13</f>
        <v>2973542.1275392324</v>
      </c>
      <c r="I13" s="94">
        <f>SUM('12.Facility 1 - Trading'!H233:H284)*$D$13</f>
        <v>3362389.9442174397</v>
      </c>
      <c r="J13" s="94">
        <f>SUM('12.Facility 1 - Trading'!I233:I284)*$D$13</f>
        <v>3782688.6872446202</v>
      </c>
      <c r="K13" s="94">
        <f>SUM('12.Facility 1 - Trading'!J233:J284)*$D$13</f>
        <v>4236611.329713976</v>
      </c>
      <c r="L13" s="92"/>
      <c r="M13" s="92"/>
      <c r="N13" s="245" t="s">
        <v>348</v>
      </c>
      <c r="O13" s="249">
        <f>SUM(O7:O11)</f>
        <v>156.06171428571429</v>
      </c>
      <c r="P13" s="249">
        <f>SUM(P7:P11)</f>
        <v>2906.0617142857141</v>
      </c>
      <c r="Q13" s="249">
        <f>SUM(Q7:Q11)</f>
        <v>156.06171428571429</v>
      </c>
      <c r="R13" s="249">
        <f>SUM(R7:R11)</f>
        <v>156.06171428571429</v>
      </c>
      <c r="U13" s="245" t="s">
        <v>1</v>
      </c>
      <c r="V13" s="249" t="e">
        <f>SUM(V7:V12)</f>
        <v>#REF!</v>
      </c>
    </row>
    <row r="14" spans="3:22">
      <c r="C14" s="93" t="str">
        <f>C7</f>
        <v xml:space="preserve">Grain Processing </v>
      </c>
      <c r="D14" s="271">
        <v>0.05</v>
      </c>
      <c r="E14" s="94">
        <f>SUM('13.Facility 2 Grain Processing'!D157:D165)*$D$14</f>
        <v>411507.88632771425</v>
      </c>
      <c r="F14" s="94">
        <f>SUM('13.Facility 2 Grain Processing'!E157:E165)*$D$14</f>
        <v>460888.83268704015</v>
      </c>
      <c r="G14" s="94">
        <f>SUM('13.Facility 2 Grain Processing'!F157:F165)*$D$14</f>
        <v>514179.10396647902</v>
      </c>
      <c r="H14" s="94">
        <f>SUM('13.Facility 2 Grain Processing'!G157:G165)*$D$14</f>
        <v>571646.1802921443</v>
      </c>
      <c r="I14" s="94">
        <f>SUM('13.Facility 2 Grain Processing'!H157:H165)*$D$14</f>
        <v>633574.51649046002</v>
      </c>
      <c r="J14" s="94">
        <f>SUM('13.Facility 2 Grain Processing'!I157:I165)*$D$14</f>
        <v>700266.57085787703</v>
      </c>
      <c r="K14" s="94">
        <f>SUM('13.Facility 2 Grain Processing'!J157:J165)*$D$14</f>
        <v>772043.89437080931</v>
      </c>
      <c r="L14" s="92"/>
      <c r="M14" s="92"/>
    </row>
    <row r="15" spans="3:22">
      <c r="C15" s="93"/>
      <c r="D15" s="242"/>
      <c r="E15" s="94"/>
      <c r="F15" s="94"/>
      <c r="G15" s="94"/>
      <c r="H15" s="94"/>
      <c r="I15" s="94"/>
      <c r="J15" s="94"/>
      <c r="K15" s="94"/>
      <c r="L15" s="92"/>
      <c r="M15" s="92"/>
    </row>
    <row r="16" spans="3:22">
      <c r="C16" s="93"/>
      <c r="D16" s="93"/>
      <c r="E16" s="93"/>
      <c r="F16" s="94"/>
      <c r="G16" s="94"/>
      <c r="H16" s="94"/>
      <c r="I16" s="94"/>
      <c r="J16" s="94"/>
      <c r="K16" s="94"/>
      <c r="L16" s="92"/>
      <c r="M16" s="92"/>
    </row>
    <row r="17" spans="1:18">
      <c r="C17" s="93" t="s">
        <v>1</v>
      </c>
      <c r="D17" s="93"/>
      <c r="E17" s="201">
        <f t="shared" ref="E17:K17" si="6">SUM(E13:E16)</f>
        <v>2387398.2637013034</v>
      </c>
      <c r="F17" s="94">
        <f t="shared" si="6"/>
        <v>2743042.2185535366</v>
      </c>
      <c r="G17" s="94">
        <f t="shared" si="6"/>
        <v>3128282.0732317381</v>
      </c>
      <c r="H17" s="94">
        <f t="shared" si="6"/>
        <v>3545188.3078313768</v>
      </c>
      <c r="I17" s="94">
        <f t="shared" si="6"/>
        <v>3995964.4607078996</v>
      </c>
      <c r="J17" s="94">
        <f t="shared" si="6"/>
        <v>4482955.2581024971</v>
      </c>
      <c r="K17" s="94">
        <f t="shared" si="6"/>
        <v>5008655.2240847852</v>
      </c>
      <c r="L17" s="92"/>
      <c r="M17" s="92"/>
    </row>
    <row r="18" spans="1:18">
      <c r="C18" s="92"/>
      <c r="D18" s="92"/>
      <c r="E18" s="92"/>
      <c r="F18" s="92"/>
      <c r="G18" s="92"/>
      <c r="H18" s="92"/>
      <c r="I18" s="92"/>
      <c r="J18" s="92"/>
      <c r="K18" s="92"/>
      <c r="L18" s="92"/>
      <c r="M18" s="92"/>
    </row>
    <row r="19" spans="1:18" ht="41.1" customHeight="1">
      <c r="A19" s="424" t="s">
        <v>398</v>
      </c>
      <c r="B19" s="424"/>
      <c r="C19" s="424"/>
      <c r="D19" s="424"/>
      <c r="E19" s="424"/>
      <c r="F19" s="424"/>
      <c r="G19" s="424"/>
      <c r="H19" s="424"/>
      <c r="I19" s="424"/>
      <c r="J19" s="424"/>
      <c r="K19" s="424"/>
      <c r="L19" s="326"/>
      <c r="M19" s="326"/>
      <c r="N19" s="326"/>
      <c r="O19" s="281"/>
      <c r="P19" s="281"/>
      <c r="Q19" s="281"/>
      <c r="R19" s="281"/>
    </row>
    <row r="20" spans="1:18">
      <c r="A20" t="s">
        <v>483</v>
      </c>
    </row>
    <row r="21" spans="1:18">
      <c r="A21">
        <v>1</v>
      </c>
      <c r="B21" t="s">
        <v>486</v>
      </c>
    </row>
    <row r="24" spans="1:18" ht="18.75">
      <c r="B24" s="419" t="s">
        <v>507</v>
      </c>
      <c r="C24" s="419"/>
      <c r="D24" s="419"/>
      <c r="E24" s="419"/>
      <c r="F24" s="419"/>
      <c r="G24" s="419"/>
      <c r="H24" s="419"/>
      <c r="I24" s="419"/>
      <c r="J24" s="419"/>
      <c r="K24" s="419"/>
    </row>
    <row r="26" spans="1:18">
      <c r="B26" s="440" t="s">
        <v>144</v>
      </c>
      <c r="C26" s="440" t="s">
        <v>0</v>
      </c>
      <c r="D26" s="443" t="s">
        <v>345</v>
      </c>
      <c r="E26" s="445" t="s">
        <v>157</v>
      </c>
      <c r="F26" s="446"/>
      <c r="G26" s="446"/>
      <c r="H26" s="446"/>
      <c r="I26" s="446"/>
      <c r="J26" s="446"/>
      <c r="K26" s="446"/>
    </row>
    <row r="27" spans="1:18">
      <c r="B27" s="440"/>
      <c r="C27" s="440"/>
      <c r="D27" s="444"/>
      <c r="E27" s="208" t="s">
        <v>2</v>
      </c>
      <c r="F27" s="208" t="s">
        <v>3</v>
      </c>
      <c r="G27" s="208" t="s">
        <v>4</v>
      </c>
      <c r="H27" s="208" t="s">
        <v>5</v>
      </c>
      <c r="I27" s="208" t="s">
        <v>6</v>
      </c>
      <c r="J27" s="208" t="s">
        <v>168</v>
      </c>
      <c r="K27" s="208" t="s">
        <v>167</v>
      </c>
    </row>
    <row r="28" spans="1:18">
      <c r="B28" s="211"/>
      <c r="C28" s="212"/>
      <c r="D28" s="212"/>
      <c r="E28" s="213"/>
      <c r="F28" s="213"/>
      <c r="G28" s="213"/>
      <c r="H28" s="213"/>
      <c r="I28" s="213"/>
      <c r="J28" s="213"/>
      <c r="K28" s="213"/>
    </row>
    <row r="29" spans="1:18" ht="28.5">
      <c r="B29" s="214" t="s">
        <v>171</v>
      </c>
      <c r="C29" s="215" t="s">
        <v>325</v>
      </c>
      <c r="D29" s="229"/>
      <c r="E29" s="216"/>
      <c r="F29" s="216"/>
      <c r="G29" s="216"/>
      <c r="H29" s="216"/>
      <c r="I29" s="216"/>
      <c r="J29" s="216"/>
      <c r="K29" s="216"/>
    </row>
    <row r="30" spans="1:18">
      <c r="B30" s="267">
        <v>3</v>
      </c>
      <c r="C30" s="217" t="s">
        <v>343</v>
      </c>
      <c r="D30" s="229">
        <v>14</v>
      </c>
      <c r="E30" s="216">
        <f>('12.Facility 1 - Trading'!D229/365)*$D$30</f>
        <v>1483206.2207247945</v>
      </c>
      <c r="F30" s="216">
        <f>('12.Facility 1 - Trading'!E229/365)*$D$30</f>
        <v>1794826.7161281926</v>
      </c>
      <c r="G30" s="216">
        <f>('12.Facility 1 - Trading'!F229/365)*$D$30</f>
        <v>2056672.5085445717</v>
      </c>
      <c r="H30" s="216">
        <f>('12.Facility 1 - Trading'!G229/365)*$D$30</f>
        <v>2340215.8134122682</v>
      </c>
      <c r="I30" s="216">
        <f>('12.Facility 1 - Trading'!H229/365)*$D$30</f>
        <v>2646971.7674953728</v>
      </c>
      <c r="J30" s="216">
        <f>('12.Facility 1 - Trading'!I229/365)*$D$30</f>
        <v>2978552.7774532577</v>
      </c>
      <c r="K30" s="216">
        <f>('12.Facility 1 - Trading'!J229/365)*$D$30</f>
        <v>3336674.458988192</v>
      </c>
    </row>
    <row r="31" spans="1:18">
      <c r="B31" s="267">
        <v>4</v>
      </c>
      <c r="C31" s="217" t="s">
        <v>139</v>
      </c>
      <c r="D31" s="229">
        <v>14</v>
      </c>
      <c r="E31" s="216">
        <f>('13.Facility 2 Grain Processing'!D153/365)*$D$31</f>
        <v>336777.62252054788</v>
      </c>
      <c r="F31" s="216">
        <f>('13.Facility 2 Grain Processing'!E153/365)*$D$31</f>
        <v>377190.93722301367</v>
      </c>
      <c r="G31" s="216">
        <f>('13.Facility 2 Grain Processing'!F153/365)*$D$31</f>
        <v>420803.6393394245</v>
      </c>
      <c r="H31" s="216">
        <f>('13.Facility 2 Grain Processing'!G153/365)*$D$31</f>
        <v>467834.63432441914</v>
      </c>
      <c r="I31" s="216">
        <f>('13.Facility 2 Grain Processing'!H153/365)*$D$31</f>
        <v>518516.71970956458</v>
      </c>
      <c r="J31" s="216">
        <f>('13.Facility 2 Grain Processing'!I153/365)*$D$31</f>
        <v>573097.42704741354</v>
      </c>
      <c r="K31" s="216">
        <f>('13.Facility 2 Grain Processing'!J153/365)*$D$31</f>
        <v>631839.91331977351</v>
      </c>
    </row>
    <row r="32" spans="1:18">
      <c r="B32" s="267">
        <v>5</v>
      </c>
      <c r="C32" s="217" t="s">
        <v>285</v>
      </c>
      <c r="D32" s="229">
        <v>14</v>
      </c>
      <c r="E32" s="216">
        <f>('14. Facility 3 Warehouse'!D23/365)*$D$32</f>
        <v>0</v>
      </c>
      <c r="F32" s="216">
        <f>('14. Facility 3 Warehouse'!E23/365)*$D$32</f>
        <v>0</v>
      </c>
      <c r="G32" s="216">
        <f>('14. Facility 3 Warehouse'!F23/365)*$D$32</f>
        <v>0</v>
      </c>
      <c r="H32" s="216">
        <f>('14. Facility 3 Warehouse'!G23/365)*$D$32</f>
        <v>0</v>
      </c>
      <c r="I32" s="216">
        <f>('14. Facility 3 Warehouse'!H23/365)*$D$32</f>
        <v>0</v>
      </c>
      <c r="J32" s="216">
        <f>('14. Facility 3 Warehouse'!I23/365)*$D$32</f>
        <v>0</v>
      </c>
      <c r="K32" s="216">
        <f>('14. Facility 3 Warehouse'!J23/365)*$D$32</f>
        <v>0</v>
      </c>
    </row>
    <row r="33" spans="2:11">
      <c r="B33" s="267"/>
      <c r="C33" s="217"/>
      <c r="D33" s="229"/>
      <c r="E33" s="216"/>
      <c r="F33" s="216"/>
      <c r="G33" s="216"/>
      <c r="H33" s="216"/>
      <c r="I33" s="216"/>
      <c r="J33" s="216"/>
      <c r="K33" s="216"/>
    </row>
    <row r="34" spans="2:11">
      <c r="B34" s="254"/>
      <c r="C34" s="215" t="s">
        <v>170</v>
      </c>
      <c r="D34" s="229"/>
      <c r="E34" s="216">
        <f t="shared" ref="E34:K34" si="7">SUM(E30:E33)</f>
        <v>1819983.8432453424</v>
      </c>
      <c r="F34" s="216">
        <f t="shared" si="7"/>
        <v>2172017.6533512063</v>
      </c>
      <c r="G34" s="216">
        <f t="shared" si="7"/>
        <v>2477476.1478839964</v>
      </c>
      <c r="H34" s="216">
        <f t="shared" si="7"/>
        <v>2808050.4477366875</v>
      </c>
      <c r="I34" s="216">
        <f t="shared" si="7"/>
        <v>3165488.4872049373</v>
      </c>
      <c r="J34" s="216">
        <f t="shared" si="7"/>
        <v>3551650.2045006715</v>
      </c>
      <c r="K34" s="216">
        <f t="shared" si="7"/>
        <v>3968514.3723079655</v>
      </c>
    </row>
    <row r="35" spans="2:11">
      <c r="B35" s="214" t="s">
        <v>172</v>
      </c>
      <c r="C35" s="215" t="s">
        <v>324</v>
      </c>
      <c r="D35" s="229"/>
      <c r="E35" s="216">
        <f>'5.Closing Stock &amp; W Capital'!E17</f>
        <v>2387398.2637013034</v>
      </c>
      <c r="F35" s="216">
        <f>'5.Closing Stock &amp; W Capital'!F17</f>
        <v>2743042.2185535366</v>
      </c>
      <c r="G35" s="216">
        <f>'5.Closing Stock &amp; W Capital'!G17</f>
        <v>3128282.0732317381</v>
      </c>
      <c r="H35" s="216">
        <f>'5.Closing Stock &amp; W Capital'!H17</f>
        <v>3545188.3078313768</v>
      </c>
      <c r="I35" s="216">
        <f>'5.Closing Stock &amp; W Capital'!I17</f>
        <v>3995964.4607078996</v>
      </c>
      <c r="J35" s="216">
        <f>'5.Closing Stock &amp; W Capital'!J17</f>
        <v>4482955.2581024971</v>
      </c>
      <c r="K35" s="216">
        <f>'5.Closing Stock &amp; W Capital'!K17</f>
        <v>5008655.2240847852</v>
      </c>
    </row>
    <row r="36" spans="2:11">
      <c r="B36" s="214"/>
      <c r="C36" s="217"/>
      <c r="D36" s="229"/>
      <c r="E36" s="216"/>
      <c r="F36" s="216"/>
      <c r="G36" s="216"/>
      <c r="H36" s="216"/>
      <c r="I36" s="216"/>
      <c r="J36" s="216"/>
      <c r="K36" s="216"/>
    </row>
    <row r="37" spans="2:11">
      <c r="B37" s="441" t="s">
        <v>1</v>
      </c>
      <c r="C37" s="442"/>
      <c r="D37" s="241"/>
      <c r="E37" s="218">
        <f>SUM(E34:E35)</f>
        <v>4207382.1069466453</v>
      </c>
      <c r="F37" s="218">
        <f t="shared" ref="F37:K37" si="8">SUM(F34:F35)</f>
        <v>4915059.8719047429</v>
      </c>
      <c r="G37" s="218">
        <f t="shared" si="8"/>
        <v>5605758.2211157344</v>
      </c>
      <c r="H37" s="218">
        <f t="shared" si="8"/>
        <v>6353238.7555680647</v>
      </c>
      <c r="I37" s="218">
        <f t="shared" si="8"/>
        <v>7161452.9479128364</v>
      </c>
      <c r="J37" s="218">
        <f t="shared" si="8"/>
        <v>8034605.4626031686</v>
      </c>
      <c r="K37" s="218">
        <f t="shared" si="8"/>
        <v>8977169.5963927507</v>
      </c>
    </row>
    <row r="38" spans="2:11">
      <c r="B38" s="214"/>
      <c r="C38" s="215"/>
      <c r="D38" s="229"/>
      <c r="E38" s="216"/>
      <c r="F38" s="216"/>
      <c r="G38" s="216"/>
      <c r="H38" s="216"/>
      <c r="I38" s="216"/>
      <c r="J38" s="216"/>
      <c r="K38" s="216"/>
    </row>
    <row r="39" spans="2:11" ht="34.5" customHeight="1">
      <c r="B39" s="214" t="s">
        <v>173</v>
      </c>
      <c r="C39" s="217" t="s">
        <v>326</v>
      </c>
      <c r="D39" s="229"/>
      <c r="E39" s="216"/>
      <c r="F39" s="216"/>
      <c r="G39" s="216"/>
      <c r="H39" s="216"/>
      <c r="I39" s="216"/>
      <c r="J39" s="216"/>
      <c r="K39" s="216"/>
    </row>
    <row r="40" spans="2:11">
      <c r="B40" s="267">
        <v>3</v>
      </c>
      <c r="C40" s="217" t="str">
        <f>C30</f>
        <v>Cleaning &amp; Grading</v>
      </c>
      <c r="D40" s="229">
        <v>7</v>
      </c>
      <c r="E40" s="216">
        <f>('12.Facility 1 - Trading'!D292/365)*$D$40</f>
        <v>723225.25934171188</v>
      </c>
      <c r="F40" s="216">
        <f>('12.Facility 1 - Trading'!E292/365)*$D$40</f>
        <v>873218.96259889717</v>
      </c>
      <c r="G40" s="216">
        <f>('12.Facility 1 - Trading'!F292/365)*$D$40</f>
        <v>1000594.3433174833</v>
      </c>
      <c r="H40" s="216">
        <f>('12.Facility 1 - Trading'!G292/365)*$D$40</f>
        <v>1138524.2147014318</v>
      </c>
      <c r="I40" s="216">
        <f>('12.Facility 1 - Trading'!H292/365)*$D$40</f>
        <v>1287745.5873654811</v>
      </c>
      <c r="J40" s="216">
        <f>('12.Facility 1 - Trading'!I292/365)*$D$40</f>
        <v>1449042.7867591816</v>
      </c>
      <c r="K40" s="216">
        <f>('12.Facility 1 - Trading'!J292/365)*$D$40</f>
        <v>1623250.3421238391</v>
      </c>
    </row>
    <row r="41" spans="2:11">
      <c r="B41" s="267">
        <v>4</v>
      </c>
      <c r="C41" s="217" t="str">
        <f>C31</f>
        <v>Dal Mill</v>
      </c>
      <c r="D41" s="229">
        <v>7</v>
      </c>
      <c r="E41" s="216">
        <f>('13.Facility 2 Grain Processing'!D174/365)*$D$41</f>
        <v>150963.45797968764</v>
      </c>
      <c r="F41" s="216">
        <f>('13.Facility 2 Grain Processing'!E174/365)*$D$41</f>
        <v>176971.00500380911</v>
      </c>
      <c r="G41" s="216">
        <f>('13.Facility 2 Grain Processing'!F174/365)*$D$41</f>
        <v>197467.80466016574</v>
      </c>
      <c r="H41" s="216">
        <f>('13.Facility 2 Grain Processing'!G174/365)*$D$41</f>
        <v>219571.85676964844</v>
      </c>
      <c r="I41" s="216">
        <f>('13.Facility 2 Grain Processing'!H174/365)*$D$41</f>
        <v>243392.64457842917</v>
      </c>
      <c r="J41" s="216">
        <f>('13.Facility 2 Grain Processing'!I174/365)*$D$41</f>
        <v>269046.58152616373</v>
      </c>
      <c r="K41" s="216">
        <f>('13.Facility 2 Grain Processing'!J174/365)*$D$41</f>
        <v>296657.43055722566</v>
      </c>
    </row>
    <row r="42" spans="2:11">
      <c r="B42" s="267">
        <v>5</v>
      </c>
      <c r="C42" s="217" t="str">
        <f>C32</f>
        <v>Warehouse</v>
      </c>
      <c r="D42" s="229">
        <v>7</v>
      </c>
      <c r="E42" s="216">
        <f>('14. Facility 3 Warehouse'!D34/365)*$D$42</f>
        <v>0</v>
      </c>
      <c r="F42" s="216">
        <f>('14. Facility 3 Warehouse'!E34/365)*$D$42</f>
        <v>0</v>
      </c>
      <c r="G42" s="216">
        <f>('14. Facility 3 Warehouse'!F34/365)*$D$42</f>
        <v>0</v>
      </c>
      <c r="H42" s="216">
        <f>('14. Facility 3 Warehouse'!G34/365)*$D$42</f>
        <v>0</v>
      </c>
      <c r="I42" s="216">
        <f>('14. Facility 3 Warehouse'!H34/365)*$D$42</f>
        <v>0</v>
      </c>
      <c r="J42" s="216">
        <f>('14. Facility 3 Warehouse'!I34/365)*$D$42</f>
        <v>0</v>
      </c>
      <c r="K42" s="216">
        <f>('14. Facility 3 Warehouse'!J34/365)*$D$42</f>
        <v>0</v>
      </c>
    </row>
    <row r="43" spans="2:11">
      <c r="B43" s="267"/>
      <c r="C43" s="217"/>
      <c r="D43" s="229"/>
      <c r="E43" s="216"/>
      <c r="F43" s="216"/>
      <c r="G43" s="216"/>
      <c r="H43" s="216"/>
      <c r="I43" s="216"/>
      <c r="J43" s="216"/>
      <c r="K43" s="216"/>
    </row>
    <row r="44" spans="2:11">
      <c r="B44" s="209"/>
      <c r="C44" s="215" t="s">
        <v>1</v>
      </c>
      <c r="D44" s="229"/>
      <c r="E44" s="218">
        <f t="shared" ref="E44:K44" si="9">SUM(E40:E43)</f>
        <v>874188.71732139948</v>
      </c>
      <c r="F44" s="218">
        <f t="shared" si="9"/>
        <v>1050189.9676027063</v>
      </c>
      <c r="G44" s="218">
        <f t="shared" si="9"/>
        <v>1198062.147977649</v>
      </c>
      <c r="H44" s="218">
        <f t="shared" si="9"/>
        <v>1358096.0714710802</v>
      </c>
      <c r="I44" s="218">
        <f t="shared" si="9"/>
        <v>1531138.2319439102</v>
      </c>
      <c r="J44" s="218">
        <f t="shared" si="9"/>
        <v>1718089.3682853454</v>
      </c>
      <c r="K44" s="218">
        <f t="shared" si="9"/>
        <v>1919907.7726810647</v>
      </c>
    </row>
    <row r="45" spans="2:11">
      <c r="B45" s="214" t="s">
        <v>174</v>
      </c>
      <c r="C45" s="215" t="s">
        <v>155</v>
      </c>
      <c r="D45" s="229"/>
      <c r="E45" s="218">
        <f t="shared" ref="E45:K45" si="10">E37-E44</f>
        <v>3333193.3896252457</v>
      </c>
      <c r="F45" s="218">
        <f t="shared" si="10"/>
        <v>3864869.9043020364</v>
      </c>
      <c r="G45" s="218">
        <f t="shared" si="10"/>
        <v>4407696.0731380852</v>
      </c>
      <c r="H45" s="218">
        <f t="shared" si="10"/>
        <v>4995142.6840969846</v>
      </c>
      <c r="I45" s="218">
        <f t="shared" si="10"/>
        <v>5630314.7159689264</v>
      </c>
      <c r="J45" s="218">
        <f t="shared" si="10"/>
        <v>6316516.0943178236</v>
      </c>
      <c r="K45" s="218">
        <f t="shared" si="10"/>
        <v>7057261.8237116858</v>
      </c>
    </row>
    <row r="46" spans="2:11">
      <c r="B46" s="214"/>
      <c r="C46" s="215" t="s">
        <v>134</v>
      </c>
      <c r="D46" s="276">
        <v>0.25</v>
      </c>
      <c r="E46" s="218">
        <f>E45*$D$46</f>
        <v>833298.34740631143</v>
      </c>
      <c r="F46" s="218"/>
      <c r="G46" s="218"/>
      <c r="H46" s="218"/>
      <c r="I46" s="218"/>
      <c r="J46" s="218"/>
      <c r="K46" s="218"/>
    </row>
    <row r="48" spans="2:11">
      <c r="E48" s="28"/>
    </row>
    <row r="49" spans="1:12" ht="36.950000000000003" customHeight="1">
      <c r="A49" s="438" t="s">
        <v>394</v>
      </c>
      <c r="B49" s="439"/>
      <c r="C49" s="439"/>
      <c r="D49" s="439"/>
      <c r="E49" s="439"/>
      <c r="F49" s="439"/>
      <c r="G49" s="439"/>
      <c r="H49" s="439"/>
      <c r="I49" s="439"/>
      <c r="J49" s="439"/>
      <c r="K49" s="439"/>
      <c r="L49" s="439"/>
    </row>
    <row r="50" spans="1:12">
      <c r="A50" t="s">
        <v>487</v>
      </c>
    </row>
    <row r="51" spans="1:12">
      <c r="A51">
        <v>1</v>
      </c>
      <c r="B51" t="s">
        <v>488</v>
      </c>
    </row>
    <row r="52" spans="1:12">
      <c r="A52">
        <v>2</v>
      </c>
      <c r="B52" t="s">
        <v>489</v>
      </c>
    </row>
    <row r="53" spans="1:12">
      <c r="A53">
        <v>3</v>
      </c>
      <c r="B53" t="s">
        <v>646</v>
      </c>
    </row>
  </sheetData>
  <mergeCells count="11">
    <mergeCell ref="U5:V5"/>
    <mergeCell ref="C2:K2"/>
    <mergeCell ref="A19:K19"/>
    <mergeCell ref="N5:R5"/>
    <mergeCell ref="A49:L49"/>
    <mergeCell ref="B24:K24"/>
    <mergeCell ref="B26:B27"/>
    <mergeCell ref="C26:C27"/>
    <mergeCell ref="B37:C37"/>
    <mergeCell ref="D26:D27"/>
    <mergeCell ref="E26:K26"/>
  </mergeCells>
  <pageMargins left="0.7" right="0.7" top="0.75" bottom="0.75" header="0.3" footer="0.3"/>
  <pageSetup paperSize="9" scale="3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J49"/>
  <sheetViews>
    <sheetView view="pageBreakPreview" topLeftCell="A47" zoomScale="115" zoomScaleSheetLayoutView="115" workbookViewId="0">
      <selection activeCell="A2" sqref="A2:H45"/>
    </sheetView>
  </sheetViews>
  <sheetFormatPr defaultRowHeight="15"/>
  <cols>
    <col min="1" max="1" width="40.5703125" bestFit="1" customWidth="1"/>
    <col min="2" max="5" width="13.42578125" bestFit="1" customWidth="1"/>
    <col min="6" max="7" width="13.140625" bestFit="1" customWidth="1"/>
    <col min="8" max="8" width="14" bestFit="1" customWidth="1"/>
    <col min="9" max="9" width="8.5703125" customWidth="1"/>
    <col min="10" max="10" width="10.140625" bestFit="1" customWidth="1"/>
    <col min="11" max="11" width="9.5703125" bestFit="1" customWidth="1"/>
  </cols>
  <sheetData>
    <row r="2" spans="1:8" ht="18.75">
      <c r="A2" s="417" t="s">
        <v>508</v>
      </c>
      <c r="B2" s="417"/>
      <c r="C2" s="417"/>
      <c r="D2" s="417"/>
      <c r="E2" s="417"/>
      <c r="F2" s="417"/>
      <c r="G2" s="417"/>
      <c r="H2" s="417"/>
    </row>
    <row r="4" spans="1:8">
      <c r="B4" s="4"/>
      <c r="C4" s="4"/>
      <c r="D4" s="4"/>
      <c r="E4" s="4"/>
      <c r="F4" s="4"/>
    </row>
    <row r="5" spans="1:8">
      <c r="A5" s="146" t="s">
        <v>0</v>
      </c>
      <c r="B5" s="118" t="s">
        <v>2</v>
      </c>
      <c r="C5" s="118" t="s">
        <v>3</v>
      </c>
      <c r="D5" s="118" t="s">
        <v>4</v>
      </c>
      <c r="E5" s="118" t="s">
        <v>5</v>
      </c>
      <c r="F5" s="118" t="s">
        <v>6</v>
      </c>
      <c r="G5" s="118" t="s">
        <v>168</v>
      </c>
      <c r="H5" s="118" t="s">
        <v>167</v>
      </c>
    </row>
    <row r="6" spans="1:8">
      <c r="A6" s="95" t="s">
        <v>126</v>
      </c>
      <c r="B6" s="93"/>
      <c r="C6" s="93"/>
      <c r="D6" s="93"/>
      <c r="E6" s="93"/>
      <c r="F6" s="93"/>
      <c r="G6" s="93"/>
      <c r="H6" s="93"/>
    </row>
    <row r="7" spans="1:8">
      <c r="A7" s="93"/>
      <c r="B7" s="93"/>
      <c r="C7" s="93"/>
      <c r="D7" s="93"/>
      <c r="E7" s="93"/>
      <c r="F7" s="93"/>
      <c r="G7" s="93"/>
      <c r="H7" s="93"/>
    </row>
    <row r="8" spans="1:8">
      <c r="A8" s="93" t="s">
        <v>469</v>
      </c>
      <c r="B8" s="94">
        <f>'12.Facility 1 - Trading'!D229</f>
        <v>38669305.040325001</v>
      </c>
      <c r="C8" s="94">
        <f>'12.Facility 1 - Trading'!E229</f>
        <v>46793696.527627878</v>
      </c>
      <c r="D8" s="94">
        <f>'12.Facility 1 - Trading'!F229</f>
        <v>53620390.401340619</v>
      </c>
      <c r="E8" s="94">
        <f>'12.Facility 1 - Trading'!G229</f>
        <v>61012769.421105556</v>
      </c>
      <c r="F8" s="94">
        <f>'12.Facility 1 - Trading'!H229</f>
        <v>69010335.366843656</v>
      </c>
      <c r="G8" s="94">
        <f>'12.Facility 1 - Trading'!I229</f>
        <v>77655125.983602792</v>
      </c>
      <c r="H8" s="94">
        <f>'12.Facility 1 - Trading'!J229</f>
        <v>86991869.823620722</v>
      </c>
    </row>
    <row r="9" spans="1:8">
      <c r="A9" s="93" t="s">
        <v>669</v>
      </c>
      <c r="B9" s="94">
        <f>'13.Facility 2 Grain Processing'!D153</f>
        <v>8780273.7299999986</v>
      </c>
      <c r="C9" s="94">
        <f>'13.Facility 2 Grain Processing'!E153</f>
        <v>9833906.5775999986</v>
      </c>
      <c r="D9" s="94">
        <f>'13.Facility 2 Grain Processing'!F153</f>
        <v>10970952.025634997</v>
      </c>
      <c r="E9" s="94">
        <f>'13.Facility 2 Grain Processing'!G153</f>
        <v>12197117.252029499</v>
      </c>
      <c r="F9" s="94">
        <f>'13.Facility 2 Grain Processing'!H153</f>
        <v>13518471.620999362</v>
      </c>
      <c r="G9" s="94">
        <f>'13.Facility 2 Grain Processing'!I153</f>
        <v>14941468.633736139</v>
      </c>
      <c r="H9" s="94">
        <f>'13.Facility 2 Grain Processing'!J153</f>
        <v>16472969.168694096</v>
      </c>
    </row>
    <row r="10" spans="1:8">
      <c r="A10" s="93" t="s">
        <v>470</v>
      </c>
      <c r="B10" s="94">
        <f>'14. Facility 3 Warehouse'!D23</f>
        <v>0</v>
      </c>
      <c r="C10" s="94">
        <f>'14. Facility 3 Warehouse'!E23</f>
        <v>0</v>
      </c>
      <c r="D10" s="94">
        <f>'14. Facility 3 Warehouse'!F23</f>
        <v>0</v>
      </c>
      <c r="E10" s="94">
        <f>'14. Facility 3 Warehouse'!G23</f>
        <v>0</v>
      </c>
      <c r="F10" s="94">
        <f>'14. Facility 3 Warehouse'!H23</f>
        <v>0</v>
      </c>
      <c r="G10" s="94">
        <f>'14. Facility 3 Warehouse'!I23</f>
        <v>0</v>
      </c>
      <c r="H10" s="94">
        <f>'14. Facility 3 Warehouse'!J23</f>
        <v>0</v>
      </c>
    </row>
    <row r="11" spans="1:8">
      <c r="A11" s="93"/>
      <c r="B11" s="94"/>
      <c r="C11" s="94"/>
      <c r="D11" s="94"/>
      <c r="E11" s="94"/>
      <c r="F11" s="94"/>
      <c r="G11" s="94"/>
      <c r="H11" s="94"/>
    </row>
    <row r="12" spans="1:8">
      <c r="A12" s="95" t="s">
        <v>142</v>
      </c>
      <c r="B12" s="113">
        <f t="shared" ref="B12:H12" si="0">SUM(B8:B11)</f>
        <v>47449578.770324998</v>
      </c>
      <c r="C12" s="113">
        <f t="shared" si="0"/>
        <v>56627603.105227873</v>
      </c>
      <c r="D12" s="113">
        <f t="shared" si="0"/>
        <v>64591342.426975615</v>
      </c>
      <c r="E12" s="113">
        <f t="shared" si="0"/>
        <v>73209886.673135057</v>
      </c>
      <c r="F12" s="113">
        <f t="shared" si="0"/>
        <v>82528806.987843022</v>
      </c>
      <c r="G12" s="113">
        <f t="shared" si="0"/>
        <v>92596594.617338926</v>
      </c>
      <c r="H12" s="113">
        <f t="shared" si="0"/>
        <v>103464838.99231482</v>
      </c>
    </row>
    <row r="13" spans="1:8">
      <c r="A13" s="93"/>
      <c r="B13" s="94"/>
      <c r="C13" s="94"/>
      <c r="D13" s="94"/>
      <c r="E13" s="94"/>
      <c r="F13" s="94"/>
      <c r="G13" s="94"/>
      <c r="H13" s="94"/>
    </row>
    <row r="14" spans="1:8">
      <c r="A14" s="95" t="s">
        <v>292</v>
      </c>
      <c r="B14" s="94"/>
      <c r="C14" s="94"/>
      <c r="D14" s="94"/>
      <c r="E14" s="94"/>
      <c r="F14" s="94"/>
      <c r="G14" s="94"/>
      <c r="H14" s="94"/>
    </row>
    <row r="15" spans="1:8">
      <c r="A15" s="93" t="str">
        <f>A8</f>
        <v>Faclitiy 1 - Cleaning &amp; Grading</v>
      </c>
      <c r="B15" s="94">
        <f>'12.Facility 1 - Trading'!D292</f>
        <v>37711031.379960693</v>
      </c>
      <c r="C15" s="94">
        <f>'12.Facility 1 - Trading'!E292</f>
        <v>45532131.621228211</v>
      </c>
      <c r="D15" s="94">
        <f>'12.Facility 1 - Trading'!F292</f>
        <v>52173847.901554495</v>
      </c>
      <c r="E15" s="94">
        <f>'12.Facility 1 - Trading'!G292</f>
        <v>59365905.480860375</v>
      </c>
      <c r="F15" s="94">
        <f>'12.Facility 1 - Trading'!H292</f>
        <v>67146734.198342934</v>
      </c>
      <c r="G15" s="94">
        <f>'12.Facility 1 - Trading'!I292</f>
        <v>75557231.023871616</v>
      </c>
      <c r="H15" s="94">
        <f>'12.Facility 1 - Trading'!J292</f>
        <v>84640910.696457326</v>
      </c>
    </row>
    <row r="16" spans="1:8">
      <c r="A16" s="93" t="str">
        <f>A9</f>
        <v>Faclitiy 2 - Processing Unit- Atta Mill</v>
      </c>
      <c r="B16" s="94">
        <f>'13.Facility 2 Grain Processing'!D174</f>
        <v>7871666.0232265703</v>
      </c>
      <c r="C16" s="94">
        <f>'13.Facility 2 Grain Processing'!E174</f>
        <v>9227773.8323414754</v>
      </c>
      <c r="D16" s="94">
        <f>'13.Facility 2 Grain Processing'!F174</f>
        <v>10296535.528708642</v>
      </c>
      <c r="E16" s="94">
        <f>'13.Facility 2 Grain Processing'!G174</f>
        <v>11449103.960131669</v>
      </c>
      <c r="F16" s="94">
        <f>'13.Facility 2 Grain Processing'!H174</f>
        <v>12691187.895875234</v>
      </c>
      <c r="G16" s="94">
        <f>'13.Facility 2 Grain Processing'!I174</f>
        <v>14028857.465292824</v>
      </c>
      <c r="H16" s="94">
        <f>'13.Facility 2 Grain Processing'!J174</f>
        <v>15468566.021912482</v>
      </c>
    </row>
    <row r="17" spans="1:10">
      <c r="A17" s="93" t="str">
        <f>A10</f>
        <v>Faclitiy 3 - Warehouse</v>
      </c>
      <c r="B17" s="94">
        <f>'14. Facility 3 Warehouse'!D34</f>
        <v>0</v>
      </c>
      <c r="C17" s="94">
        <f>'14. Facility 3 Warehouse'!E34</f>
        <v>0</v>
      </c>
      <c r="D17" s="94">
        <f>'14. Facility 3 Warehouse'!F34</f>
        <v>0</v>
      </c>
      <c r="E17" s="94">
        <f>'14. Facility 3 Warehouse'!G34</f>
        <v>0</v>
      </c>
      <c r="F17" s="94">
        <f>'14. Facility 3 Warehouse'!H34</f>
        <v>0</v>
      </c>
      <c r="G17" s="94">
        <f>'14. Facility 3 Warehouse'!I34</f>
        <v>0</v>
      </c>
      <c r="H17" s="94">
        <f>'14. Facility 3 Warehouse'!J34</f>
        <v>0</v>
      </c>
    </row>
    <row r="18" spans="1:10">
      <c r="A18" s="93"/>
      <c r="B18" s="94"/>
      <c r="C18" s="94"/>
      <c r="D18" s="94"/>
      <c r="E18" s="94"/>
      <c r="F18" s="94"/>
      <c r="G18" s="94"/>
      <c r="H18" s="94"/>
    </row>
    <row r="19" spans="1:10">
      <c r="A19" s="95" t="s">
        <v>301</v>
      </c>
      <c r="B19" s="113">
        <f t="shared" ref="B19:H19" si="1">SUM(B15:B18)</f>
        <v>45582697.40318726</v>
      </c>
      <c r="C19" s="113">
        <f t="shared" si="1"/>
        <v>54759905.453569688</v>
      </c>
      <c r="D19" s="113">
        <f t="shared" si="1"/>
        <v>62470383.430263139</v>
      </c>
      <c r="E19" s="113">
        <f t="shared" si="1"/>
        <v>70815009.440992042</v>
      </c>
      <c r="F19" s="113">
        <f t="shared" si="1"/>
        <v>79837922.094218165</v>
      </c>
      <c r="G19" s="113">
        <f t="shared" si="1"/>
        <v>89586088.489164442</v>
      </c>
      <c r="H19" s="113">
        <f t="shared" si="1"/>
        <v>100109476.71836981</v>
      </c>
    </row>
    <row r="20" spans="1:10">
      <c r="A20" s="93"/>
      <c r="B20" s="94"/>
      <c r="C20" s="94"/>
      <c r="D20" s="94"/>
      <c r="E20" s="94"/>
      <c r="F20" s="94"/>
      <c r="G20" s="94"/>
      <c r="H20" s="94"/>
    </row>
    <row r="21" spans="1:10">
      <c r="A21" s="95" t="s">
        <v>291</v>
      </c>
      <c r="B21" s="94"/>
      <c r="C21" s="94"/>
      <c r="D21" s="94"/>
      <c r="E21" s="94"/>
      <c r="F21" s="94"/>
      <c r="G21" s="94"/>
      <c r="H21" s="94"/>
    </row>
    <row r="22" spans="1:10">
      <c r="A22" s="93" t="str">
        <f>A15</f>
        <v>Faclitiy 1 - Cleaning &amp; Grading</v>
      </c>
      <c r="B22" s="94">
        <f>'12.Facility 1 - Trading'!D301</f>
        <v>56179.767857142855</v>
      </c>
      <c r="C22" s="94">
        <f>'12.Facility 1 - Trading'!E301</f>
        <v>64887.631875000006</v>
      </c>
      <c r="D22" s="94">
        <f>'12.Facility 1 - Trading'!F301</f>
        <v>74325.832875000007</v>
      </c>
      <c r="E22" s="94">
        <f>'12.Facility 1 - Trading'!G301</f>
        <v>84545.634895312513</v>
      </c>
      <c r="F22" s="94">
        <f>'12.Facility 1 - Trading'!H301</f>
        <v>95601.602535468788</v>
      </c>
      <c r="G22" s="94">
        <f>'12.Facility 1 - Trading'!I301</f>
        <v>107551.80285240238</v>
      </c>
      <c r="H22" s="94">
        <f>'12.Facility 1 - Trading'!J301</f>
        <v>120458.01919469069</v>
      </c>
    </row>
    <row r="23" spans="1:10">
      <c r="A23" s="93" t="str">
        <f>A16</f>
        <v>Faclitiy 2 - Processing Unit- Atta Mill</v>
      </c>
      <c r="B23" s="94">
        <f>'13.Facility 2 Grain Processing'!D182</f>
        <v>96000</v>
      </c>
      <c r="C23" s="94">
        <f>'13.Facility 2 Grain Processing'!E182</f>
        <v>100800</v>
      </c>
      <c r="D23" s="94">
        <f>'13.Facility 2 Grain Processing'!F182</f>
        <v>105840</v>
      </c>
      <c r="E23" s="94">
        <f>'13.Facility 2 Grain Processing'!G182</f>
        <v>111132.00000000001</v>
      </c>
      <c r="F23" s="94">
        <f>'13.Facility 2 Grain Processing'!H182</f>
        <v>116688.60000000002</v>
      </c>
      <c r="G23" s="94">
        <f>'13.Facility 2 Grain Processing'!I182</f>
        <v>122523.03000000003</v>
      </c>
      <c r="H23" s="94">
        <f>'13.Facility 2 Grain Processing'!J182</f>
        <v>128649.18150000004</v>
      </c>
    </row>
    <row r="24" spans="1:10">
      <c r="A24" s="93" t="str">
        <f>A17</f>
        <v>Faclitiy 3 - Warehouse</v>
      </c>
      <c r="B24" s="94">
        <f>'14. Facility 3 Warehouse'!D43</f>
        <v>0</v>
      </c>
      <c r="C24" s="94">
        <f>'14. Facility 3 Warehouse'!E43</f>
        <v>0</v>
      </c>
      <c r="D24" s="94">
        <f>'14. Facility 3 Warehouse'!F43</f>
        <v>0</v>
      </c>
      <c r="E24" s="94">
        <f>'14. Facility 3 Warehouse'!G43</f>
        <v>0</v>
      </c>
      <c r="F24" s="94">
        <f>'14. Facility 3 Warehouse'!H43</f>
        <v>0</v>
      </c>
      <c r="G24" s="94">
        <f>'14. Facility 3 Warehouse'!I43</f>
        <v>0</v>
      </c>
      <c r="H24" s="94">
        <f>'14. Facility 3 Warehouse'!J43</f>
        <v>0</v>
      </c>
    </row>
    <row r="25" spans="1:10">
      <c r="A25" s="93"/>
      <c r="B25" s="94"/>
      <c r="C25" s="94"/>
      <c r="D25" s="94"/>
      <c r="E25" s="94"/>
      <c r="F25" s="94"/>
      <c r="G25" s="94"/>
      <c r="H25" s="94"/>
    </row>
    <row r="26" spans="1:10">
      <c r="A26" s="93" t="s">
        <v>9</v>
      </c>
      <c r="B26" s="94">
        <f>'3.Other Exp &amp; Taxes'!E23</f>
        <v>577656</v>
      </c>
      <c r="C26" s="94">
        <f>'3.Other Exp &amp; Taxes'!F23</f>
        <v>606538.79999999993</v>
      </c>
      <c r="D26" s="94">
        <f>'3.Other Exp &amp; Taxes'!G23</f>
        <v>636865.74000000011</v>
      </c>
      <c r="E26" s="94">
        <f>'3.Other Exp &amp; Taxes'!H23</f>
        <v>668709.027</v>
      </c>
      <c r="F26" s="94">
        <f>'3.Other Exp &amp; Taxes'!I23</f>
        <v>702144.47835000011</v>
      </c>
      <c r="G26" s="94">
        <f>'3.Other Exp &amp; Taxes'!J23</f>
        <v>737251.70226750011</v>
      </c>
      <c r="H26" s="94">
        <f>'3.Other Exp &amp; Taxes'!K23</f>
        <v>774114.28738087532</v>
      </c>
    </row>
    <row r="27" spans="1:10">
      <c r="A27" s="95" t="s">
        <v>305</v>
      </c>
      <c r="B27" s="113">
        <f t="shared" ref="B27:H27" si="2">SUM(B22:B26)</f>
        <v>729835.76785714284</v>
      </c>
      <c r="C27" s="113">
        <f t="shared" si="2"/>
        <v>772226.43187500001</v>
      </c>
      <c r="D27" s="113">
        <f t="shared" si="2"/>
        <v>817031.57287500007</v>
      </c>
      <c r="E27" s="113">
        <f t="shared" si="2"/>
        <v>864386.6618953126</v>
      </c>
      <c r="F27" s="113">
        <f t="shared" si="2"/>
        <v>914434.68088546884</v>
      </c>
      <c r="G27" s="113">
        <f t="shared" si="2"/>
        <v>967326.53511990258</v>
      </c>
      <c r="H27" s="113">
        <f t="shared" si="2"/>
        <v>1023221.488075566</v>
      </c>
    </row>
    <row r="28" spans="1:10">
      <c r="A28" s="93"/>
      <c r="B28" s="94"/>
      <c r="C28" s="94"/>
      <c r="D28" s="94"/>
      <c r="E28" s="94"/>
      <c r="F28" s="94"/>
      <c r="G28" s="94"/>
      <c r="H28" s="94"/>
    </row>
    <row r="29" spans="1:10">
      <c r="A29" s="95" t="s">
        <v>307</v>
      </c>
      <c r="B29" s="113">
        <f t="shared" ref="B29:H29" si="3">B19+B27</f>
        <v>46312533.171044402</v>
      </c>
      <c r="C29" s="113">
        <f t="shared" si="3"/>
        <v>55532131.885444686</v>
      </c>
      <c r="D29" s="113">
        <f t="shared" si="3"/>
        <v>63287415.00313814</v>
      </c>
      <c r="E29" s="113">
        <f t="shared" si="3"/>
        <v>71679396.102887362</v>
      </c>
      <c r="F29" s="113">
        <f t="shared" si="3"/>
        <v>80752356.775103629</v>
      </c>
      <c r="G29" s="113">
        <f t="shared" si="3"/>
        <v>90553415.024284348</v>
      </c>
      <c r="H29" s="113">
        <f t="shared" si="3"/>
        <v>101132698.20644538</v>
      </c>
    </row>
    <row r="30" spans="1:10">
      <c r="A30" s="93"/>
      <c r="B30" s="94"/>
      <c r="C30" s="94"/>
      <c r="D30" s="94"/>
      <c r="E30" s="94"/>
      <c r="F30" s="94"/>
      <c r="G30" s="94"/>
      <c r="H30" s="94"/>
    </row>
    <row r="31" spans="1:10">
      <c r="A31" s="95" t="s">
        <v>135</v>
      </c>
      <c r="B31" s="113">
        <f>B12-B29</f>
        <v>1137045.5992805958</v>
      </c>
      <c r="C31" s="113">
        <f t="shared" ref="C31:H31" si="4">C12-C29</f>
        <v>1095471.2197831869</v>
      </c>
      <c r="D31" s="113">
        <f t="shared" si="4"/>
        <v>1303927.4238374755</v>
      </c>
      <c r="E31" s="113">
        <f t="shared" si="4"/>
        <v>1530490.5702476948</v>
      </c>
      <c r="F31" s="113">
        <f t="shared" si="4"/>
        <v>1776450.2127393931</v>
      </c>
      <c r="G31" s="113">
        <f t="shared" si="4"/>
        <v>2043179.5930545777</v>
      </c>
      <c r="H31" s="113">
        <f t="shared" si="4"/>
        <v>2332140.7858694345</v>
      </c>
      <c r="J31" s="65"/>
    </row>
    <row r="32" spans="1:10">
      <c r="A32" s="93"/>
      <c r="B32" s="94"/>
      <c r="C32" s="94"/>
      <c r="D32" s="94"/>
      <c r="E32" s="94"/>
      <c r="F32" s="94"/>
      <c r="G32" s="94"/>
      <c r="H32" s="94"/>
    </row>
    <row r="33" spans="1:10">
      <c r="A33" s="97" t="s">
        <v>17</v>
      </c>
      <c r="B33" s="94">
        <f>'3.Other Exp &amp; Taxes'!C66</f>
        <v>237254.98949999997</v>
      </c>
      <c r="C33" s="94">
        <f>'3.Other Exp &amp; Taxes'!D66</f>
        <v>237254.98949999997</v>
      </c>
      <c r="D33" s="94">
        <f>'3.Other Exp &amp; Taxes'!E66</f>
        <v>237254.98949999997</v>
      </c>
      <c r="E33" s="94">
        <f>'3.Other Exp &amp; Taxes'!F66</f>
        <v>237254.98949999997</v>
      </c>
      <c r="F33" s="94">
        <f>'3.Other Exp &amp; Taxes'!G66</f>
        <v>237254.98949999997</v>
      </c>
      <c r="G33" s="94">
        <f>'3.Other Exp &amp; Taxes'!H66</f>
        <v>237254.98949999997</v>
      </c>
      <c r="H33" s="94">
        <f>'3.Other Exp &amp; Taxes'!I66</f>
        <v>237254.98949999997</v>
      </c>
      <c r="J33" s="65"/>
    </row>
    <row r="34" spans="1:10">
      <c r="A34" s="97" t="s">
        <v>136</v>
      </c>
      <c r="B34" s="94">
        <f>'3.Other Exp &amp; Taxes'!C86</f>
        <v>21400</v>
      </c>
      <c r="C34" s="94">
        <f>'3.Other Exp &amp; Taxes'!D86</f>
        <v>21400</v>
      </c>
      <c r="D34" s="94">
        <f>'3.Other Exp &amp; Taxes'!E86</f>
        <v>21400</v>
      </c>
      <c r="E34" s="94">
        <f>'3.Other Exp &amp; Taxes'!F86</f>
        <v>21400</v>
      </c>
      <c r="F34" s="94">
        <f>'3.Other Exp &amp; Taxes'!G86</f>
        <v>21400</v>
      </c>
      <c r="G34" s="94">
        <f>'3.Other Exp &amp; Taxes'!H86</f>
        <v>0</v>
      </c>
      <c r="H34" s="94">
        <f>'3.Other Exp &amp; Taxes'!I86</f>
        <v>0</v>
      </c>
    </row>
    <row r="35" spans="1:10">
      <c r="A35" s="93"/>
      <c r="B35" s="94"/>
      <c r="C35" s="94"/>
      <c r="D35" s="94"/>
      <c r="E35" s="94"/>
      <c r="F35" s="94"/>
      <c r="G35" s="94"/>
      <c r="H35" s="94"/>
    </row>
    <row r="36" spans="1:10">
      <c r="A36" s="95" t="s">
        <v>137</v>
      </c>
      <c r="B36" s="113">
        <f>B31-B33-B34</f>
        <v>878390.60978059587</v>
      </c>
      <c r="C36" s="113">
        <f t="shared" ref="C36:H36" si="5">C31-C33-C34</f>
        <v>836816.230283187</v>
      </c>
      <c r="D36" s="113">
        <f t="shared" si="5"/>
        <v>1045272.4343374756</v>
      </c>
      <c r="E36" s="113">
        <f t="shared" si="5"/>
        <v>1271835.5807476949</v>
      </c>
      <c r="F36" s="113">
        <f t="shared" si="5"/>
        <v>1517795.2232393932</v>
      </c>
      <c r="G36" s="113">
        <f t="shared" si="5"/>
        <v>1805924.6035545778</v>
      </c>
      <c r="H36" s="113">
        <f t="shared" si="5"/>
        <v>2094885.7963694346</v>
      </c>
    </row>
    <row r="37" spans="1:10">
      <c r="A37" s="93"/>
      <c r="B37" s="94"/>
      <c r="C37" s="94"/>
      <c r="D37" s="94"/>
      <c r="E37" s="94"/>
      <c r="F37" s="94"/>
      <c r="G37" s="94"/>
      <c r="H37" s="94"/>
    </row>
    <row r="38" spans="1:10">
      <c r="A38" s="93" t="s">
        <v>24</v>
      </c>
      <c r="B38" s="94">
        <f>'8.Cash Flow '!C26+'8.Cash Flow '!C28</f>
        <v>0</v>
      </c>
      <c r="C38" s="94">
        <f>'8.Cash Flow '!D26+'8.Cash Flow '!D28</f>
        <v>0</v>
      </c>
      <c r="D38" s="94">
        <f>'8.Cash Flow '!E26+'8.Cash Flow '!E28</f>
        <v>0</v>
      </c>
      <c r="E38" s="94">
        <f>'8.Cash Flow '!F26+'8.Cash Flow '!F28</f>
        <v>0</v>
      </c>
      <c r="F38" s="94">
        <f>'8.Cash Flow '!G26+'8.Cash Flow '!G28</f>
        <v>0</v>
      </c>
      <c r="G38" s="94">
        <f>'8.Cash Flow '!H26+'8.Cash Flow '!H28</f>
        <v>0</v>
      </c>
      <c r="H38" s="94">
        <f>'8.Cash Flow '!I26+'8.Cash Flow '!I28</f>
        <v>0</v>
      </c>
    </row>
    <row r="39" spans="1:10">
      <c r="A39" s="93"/>
      <c r="B39" s="94"/>
      <c r="C39" s="94"/>
      <c r="D39" s="94"/>
      <c r="E39" s="94"/>
      <c r="F39" s="94"/>
      <c r="G39" s="94"/>
      <c r="H39" s="94"/>
    </row>
    <row r="40" spans="1:10">
      <c r="A40" s="93" t="s">
        <v>25</v>
      </c>
      <c r="B40" s="94">
        <f>B36-B38</f>
        <v>878390.60978059587</v>
      </c>
      <c r="C40" s="94">
        <f t="shared" ref="C40:H40" si="6">C36-C38</f>
        <v>836816.230283187</v>
      </c>
      <c r="D40" s="94">
        <f t="shared" si="6"/>
        <v>1045272.4343374756</v>
      </c>
      <c r="E40" s="94">
        <f t="shared" si="6"/>
        <v>1271835.5807476949</v>
      </c>
      <c r="F40" s="94">
        <f t="shared" si="6"/>
        <v>1517795.2232393932</v>
      </c>
      <c r="G40" s="94">
        <f t="shared" si="6"/>
        <v>1805924.6035545778</v>
      </c>
      <c r="H40" s="94">
        <f t="shared" si="6"/>
        <v>2094885.7963694346</v>
      </c>
    </row>
    <row r="41" spans="1:10">
      <c r="A41" s="93" t="s">
        <v>26</v>
      </c>
      <c r="B41" s="94">
        <f>'3.Other Exp &amp; Taxes'!B99</f>
        <v>134813.76981295491</v>
      </c>
      <c r="C41" s="94">
        <f>'3.Other Exp &amp; Taxes'!C99</f>
        <v>147721.8365436286</v>
      </c>
      <c r="D41" s="94">
        <f>'3.Other Exp &amp; Taxes'!D99</f>
        <v>221487.42273774362</v>
      </c>
      <c r="E41" s="94">
        <f>'3.Other Exp &amp; Taxes'!E99</f>
        <v>296712.18554840068</v>
      </c>
      <c r="F41" s="94">
        <f>'3.Other Exp &amp; Taxes'!F99</f>
        <v>374382.03557414224</v>
      </c>
      <c r="G41" s="94">
        <f>'3.Other Exp &amp; Taxes'!G99</f>
        <v>460901.92541505524</v>
      </c>
      <c r="H41" s="94">
        <f>'3.Other Exp &amp; Taxes'!H99</f>
        <v>545894.22303309315</v>
      </c>
    </row>
    <row r="42" spans="1:10">
      <c r="A42" s="95" t="s">
        <v>28</v>
      </c>
      <c r="B42" s="94">
        <f>B40-B41</f>
        <v>743576.83996764093</v>
      </c>
      <c r="C42" s="94">
        <f>C40-C41</f>
        <v>689094.39373955841</v>
      </c>
      <c r="D42" s="94">
        <f>D40-D41</f>
        <v>823785.01159973198</v>
      </c>
      <c r="E42" s="94">
        <f>E40-E41</f>
        <v>975123.3951992942</v>
      </c>
      <c r="F42" s="94">
        <f>F40-F41</f>
        <v>1143413.1876652511</v>
      </c>
      <c r="G42" s="94">
        <f t="shared" ref="G42:H42" si="7">G40-G41</f>
        <v>1345022.6781395227</v>
      </c>
      <c r="H42" s="94">
        <f t="shared" si="7"/>
        <v>1548991.5733363414</v>
      </c>
    </row>
    <row r="43" spans="1:10">
      <c r="A43" s="92"/>
      <c r="B43" s="110"/>
      <c r="C43" s="110"/>
      <c r="D43" s="110"/>
      <c r="E43" s="110"/>
      <c r="F43" s="110"/>
      <c r="G43" s="110"/>
      <c r="H43" s="110"/>
    </row>
    <row r="44" spans="1:10">
      <c r="A44" s="92" t="s">
        <v>471</v>
      </c>
      <c r="B44" s="110">
        <f>B42</f>
        <v>743576.83996764093</v>
      </c>
      <c r="C44" s="110">
        <f t="shared" ref="C44:H44" si="8">B44+C42</f>
        <v>1432671.2337071993</v>
      </c>
      <c r="D44" s="110">
        <f t="shared" si="8"/>
        <v>2256456.2453069314</v>
      </c>
      <c r="E44" s="110">
        <f t="shared" si="8"/>
        <v>3231579.6405062256</v>
      </c>
      <c r="F44" s="110">
        <f t="shared" si="8"/>
        <v>4374992.8281714767</v>
      </c>
      <c r="G44" s="110">
        <f t="shared" si="8"/>
        <v>5720015.5063109994</v>
      </c>
      <c r="H44" s="110">
        <f t="shared" si="8"/>
        <v>7269007.0796473408</v>
      </c>
    </row>
    <row r="47" spans="1:10" ht="32.450000000000003" customHeight="1">
      <c r="A47" s="447" t="s">
        <v>388</v>
      </c>
      <c r="B47" s="447"/>
      <c r="C47" s="447"/>
      <c r="D47" s="447"/>
      <c r="E47" s="447"/>
      <c r="F47" s="447"/>
      <c r="G47" s="447"/>
      <c r="H47" s="447"/>
      <c r="I47" s="447"/>
    </row>
    <row r="49" spans="1:1">
      <c r="A49" s="280"/>
    </row>
  </sheetData>
  <mergeCells count="2">
    <mergeCell ref="A2:H2"/>
    <mergeCell ref="A47:I47"/>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50"/>
  <sheetViews>
    <sheetView view="pageBreakPreview" topLeftCell="A31" zoomScale="80" zoomScaleSheetLayoutView="80" workbookViewId="0">
      <selection activeCell="A2" sqref="A2:H48"/>
    </sheetView>
  </sheetViews>
  <sheetFormatPr defaultRowHeight="15"/>
  <cols>
    <col min="1" max="1" width="37.28515625" style="51" customWidth="1"/>
    <col min="2" max="2" width="18.42578125" style="51" bestFit="1" customWidth="1"/>
    <col min="3" max="3" width="12.42578125" style="51" bestFit="1" customWidth="1"/>
    <col min="4" max="6" width="13.5703125" style="51" bestFit="1" customWidth="1"/>
    <col min="7" max="8" width="12.42578125" style="51" bestFit="1" customWidth="1"/>
    <col min="9" max="9" width="9.140625" style="51"/>
    <col min="10" max="10" width="32.85546875" style="51" bestFit="1" customWidth="1"/>
    <col min="11" max="16" width="8.7109375" style="51" bestFit="1"/>
    <col min="17" max="17" width="10.140625" style="51" bestFit="1" customWidth="1"/>
    <col min="18" max="256" width="9.140625" style="51"/>
    <col min="257" max="257" width="37.28515625" style="51" customWidth="1"/>
    <col min="258" max="258" width="18.42578125" style="51" bestFit="1" customWidth="1"/>
    <col min="259" max="262" width="12.42578125" style="51" bestFit="1" customWidth="1"/>
    <col min="263" max="263" width="11.7109375" style="51" bestFit="1" customWidth="1"/>
    <col min="264" max="512" width="9.140625" style="51"/>
    <col min="513" max="513" width="37.28515625" style="51" customWidth="1"/>
    <col min="514" max="514" width="18.42578125" style="51" bestFit="1" customWidth="1"/>
    <col min="515" max="518" width="12.42578125" style="51" bestFit="1" customWidth="1"/>
    <col min="519" max="519" width="11.7109375" style="51" bestFit="1" customWidth="1"/>
    <col min="520" max="768" width="9.140625" style="51"/>
    <col min="769" max="769" width="37.28515625" style="51" customWidth="1"/>
    <col min="770" max="770" width="18.42578125" style="51" bestFit="1" customWidth="1"/>
    <col min="771" max="774" width="12.42578125" style="51" bestFit="1" customWidth="1"/>
    <col min="775" max="775" width="11.7109375" style="51" bestFit="1" customWidth="1"/>
    <col min="776" max="1024" width="9.140625" style="51"/>
    <col min="1025" max="1025" width="37.28515625" style="51" customWidth="1"/>
    <col min="1026" max="1026" width="18.42578125" style="51" bestFit="1" customWidth="1"/>
    <col min="1027" max="1030" width="12.42578125" style="51" bestFit="1" customWidth="1"/>
    <col min="1031" max="1031" width="11.7109375" style="51" bestFit="1" customWidth="1"/>
    <col min="1032" max="1280" width="9.140625" style="51"/>
    <col min="1281" max="1281" width="37.28515625" style="51" customWidth="1"/>
    <col min="1282" max="1282" width="18.42578125" style="51" bestFit="1" customWidth="1"/>
    <col min="1283" max="1286" width="12.42578125" style="51" bestFit="1" customWidth="1"/>
    <col min="1287" max="1287" width="11.7109375" style="51" bestFit="1" customWidth="1"/>
    <col min="1288" max="1536" width="9.140625" style="51"/>
    <col min="1537" max="1537" width="37.28515625" style="51" customWidth="1"/>
    <col min="1538" max="1538" width="18.42578125" style="51" bestFit="1" customWidth="1"/>
    <col min="1539" max="1542" width="12.42578125" style="51" bestFit="1" customWidth="1"/>
    <col min="1543" max="1543" width="11.7109375" style="51" bestFit="1" customWidth="1"/>
    <col min="1544" max="1792" width="9.140625" style="51"/>
    <col min="1793" max="1793" width="37.28515625" style="51" customWidth="1"/>
    <col min="1794" max="1794" width="18.42578125" style="51" bestFit="1" customWidth="1"/>
    <col min="1795" max="1798" width="12.42578125" style="51" bestFit="1" customWidth="1"/>
    <col min="1799" max="1799" width="11.7109375" style="51" bestFit="1" customWidth="1"/>
    <col min="1800" max="2048" width="9.140625" style="51"/>
    <col min="2049" max="2049" width="37.28515625" style="51" customWidth="1"/>
    <col min="2050" max="2050" width="18.42578125" style="51" bestFit="1" customWidth="1"/>
    <col min="2051" max="2054" width="12.42578125" style="51" bestFit="1" customWidth="1"/>
    <col min="2055" max="2055" width="11.7109375" style="51" bestFit="1" customWidth="1"/>
    <col min="2056" max="2304" width="9.140625" style="51"/>
    <col min="2305" max="2305" width="37.28515625" style="51" customWidth="1"/>
    <col min="2306" max="2306" width="18.42578125" style="51" bestFit="1" customWidth="1"/>
    <col min="2307" max="2310" width="12.42578125" style="51" bestFit="1" customWidth="1"/>
    <col min="2311" max="2311" width="11.7109375" style="51" bestFit="1" customWidth="1"/>
    <col min="2312" max="2560" width="9.140625" style="51"/>
    <col min="2561" max="2561" width="37.28515625" style="51" customWidth="1"/>
    <col min="2562" max="2562" width="18.42578125" style="51" bestFit="1" customWidth="1"/>
    <col min="2563" max="2566" width="12.42578125" style="51" bestFit="1" customWidth="1"/>
    <col min="2567" max="2567" width="11.7109375" style="51" bestFit="1" customWidth="1"/>
    <col min="2568" max="2816" width="9.140625" style="51"/>
    <col min="2817" max="2817" width="37.28515625" style="51" customWidth="1"/>
    <col min="2818" max="2818" width="18.42578125" style="51" bestFit="1" customWidth="1"/>
    <col min="2819" max="2822" width="12.42578125" style="51" bestFit="1" customWidth="1"/>
    <col min="2823" max="2823" width="11.7109375" style="51" bestFit="1" customWidth="1"/>
    <col min="2824" max="3072" width="9.140625" style="51"/>
    <col min="3073" max="3073" width="37.28515625" style="51" customWidth="1"/>
    <col min="3074" max="3074" width="18.42578125" style="51" bestFit="1" customWidth="1"/>
    <col min="3075" max="3078" width="12.42578125" style="51" bestFit="1" customWidth="1"/>
    <col min="3079" max="3079" width="11.7109375" style="51" bestFit="1" customWidth="1"/>
    <col min="3080" max="3328" width="9.140625" style="51"/>
    <col min="3329" max="3329" width="37.28515625" style="51" customWidth="1"/>
    <col min="3330" max="3330" width="18.42578125" style="51" bestFit="1" customWidth="1"/>
    <col min="3331" max="3334" width="12.42578125" style="51" bestFit="1" customWidth="1"/>
    <col min="3335" max="3335" width="11.7109375" style="51" bestFit="1" customWidth="1"/>
    <col min="3336" max="3584" width="9.140625" style="51"/>
    <col min="3585" max="3585" width="37.28515625" style="51" customWidth="1"/>
    <col min="3586" max="3586" width="18.42578125" style="51" bestFit="1" customWidth="1"/>
    <col min="3587" max="3590" width="12.42578125" style="51" bestFit="1" customWidth="1"/>
    <col min="3591" max="3591" width="11.7109375" style="51" bestFit="1" customWidth="1"/>
    <col min="3592" max="3840" width="9.140625" style="51"/>
    <col min="3841" max="3841" width="37.28515625" style="51" customWidth="1"/>
    <col min="3842" max="3842" width="18.42578125" style="51" bestFit="1" customWidth="1"/>
    <col min="3843" max="3846" width="12.42578125" style="51" bestFit="1" customWidth="1"/>
    <col min="3847" max="3847" width="11.7109375" style="51" bestFit="1" customWidth="1"/>
    <col min="3848" max="4096" width="9.140625" style="51"/>
    <col min="4097" max="4097" width="37.28515625" style="51" customWidth="1"/>
    <col min="4098" max="4098" width="18.42578125" style="51" bestFit="1" customWidth="1"/>
    <col min="4099" max="4102" width="12.42578125" style="51" bestFit="1" customWidth="1"/>
    <col min="4103" max="4103" width="11.7109375" style="51" bestFit="1" customWidth="1"/>
    <col min="4104" max="4352" width="9.140625" style="51"/>
    <col min="4353" max="4353" width="37.28515625" style="51" customWidth="1"/>
    <col min="4354" max="4354" width="18.42578125" style="51" bestFit="1" customWidth="1"/>
    <col min="4355" max="4358" width="12.42578125" style="51" bestFit="1" customWidth="1"/>
    <col min="4359" max="4359" width="11.7109375" style="51" bestFit="1" customWidth="1"/>
    <col min="4360" max="4608" width="9.140625" style="51"/>
    <col min="4609" max="4609" width="37.28515625" style="51" customWidth="1"/>
    <col min="4610" max="4610" width="18.42578125" style="51" bestFit="1" customWidth="1"/>
    <col min="4611" max="4614" width="12.42578125" style="51" bestFit="1" customWidth="1"/>
    <col min="4615" max="4615" width="11.7109375" style="51" bestFit="1" customWidth="1"/>
    <col min="4616" max="4864" width="9.140625" style="51"/>
    <col min="4865" max="4865" width="37.28515625" style="51" customWidth="1"/>
    <col min="4866" max="4866" width="18.42578125" style="51" bestFit="1" customWidth="1"/>
    <col min="4867" max="4870" width="12.42578125" style="51" bestFit="1" customWidth="1"/>
    <col min="4871" max="4871" width="11.7109375" style="51" bestFit="1" customWidth="1"/>
    <col min="4872" max="5120" width="9.140625" style="51"/>
    <col min="5121" max="5121" width="37.28515625" style="51" customWidth="1"/>
    <col min="5122" max="5122" width="18.42578125" style="51" bestFit="1" customWidth="1"/>
    <col min="5123" max="5126" width="12.42578125" style="51" bestFit="1" customWidth="1"/>
    <col min="5127" max="5127" width="11.7109375" style="51" bestFit="1" customWidth="1"/>
    <col min="5128" max="5376" width="9.140625" style="51"/>
    <col min="5377" max="5377" width="37.28515625" style="51" customWidth="1"/>
    <col min="5378" max="5378" width="18.42578125" style="51" bestFit="1" customWidth="1"/>
    <col min="5379" max="5382" width="12.42578125" style="51" bestFit="1" customWidth="1"/>
    <col min="5383" max="5383" width="11.7109375" style="51" bestFit="1" customWidth="1"/>
    <col min="5384" max="5632" width="9.140625" style="51"/>
    <col min="5633" max="5633" width="37.28515625" style="51" customWidth="1"/>
    <col min="5634" max="5634" width="18.42578125" style="51" bestFit="1" customWidth="1"/>
    <col min="5635" max="5638" width="12.42578125" style="51" bestFit="1" customWidth="1"/>
    <col min="5639" max="5639" width="11.7109375" style="51" bestFit="1" customWidth="1"/>
    <col min="5640" max="5888" width="9.140625" style="51"/>
    <col min="5889" max="5889" width="37.28515625" style="51" customWidth="1"/>
    <col min="5890" max="5890" width="18.42578125" style="51" bestFit="1" customWidth="1"/>
    <col min="5891" max="5894" width="12.42578125" style="51" bestFit="1" customWidth="1"/>
    <col min="5895" max="5895" width="11.7109375" style="51" bestFit="1" customWidth="1"/>
    <col min="5896" max="6144" width="9.140625" style="51"/>
    <col min="6145" max="6145" width="37.28515625" style="51" customWidth="1"/>
    <col min="6146" max="6146" width="18.42578125" style="51" bestFit="1" customWidth="1"/>
    <col min="6147" max="6150" width="12.42578125" style="51" bestFit="1" customWidth="1"/>
    <col min="6151" max="6151" width="11.7109375" style="51" bestFit="1" customWidth="1"/>
    <col min="6152" max="6400" width="9.140625" style="51"/>
    <col min="6401" max="6401" width="37.28515625" style="51" customWidth="1"/>
    <col min="6402" max="6402" width="18.42578125" style="51" bestFit="1" customWidth="1"/>
    <col min="6403" max="6406" width="12.42578125" style="51" bestFit="1" customWidth="1"/>
    <col min="6407" max="6407" width="11.7109375" style="51" bestFit="1" customWidth="1"/>
    <col min="6408" max="6656" width="9.140625" style="51"/>
    <col min="6657" max="6657" width="37.28515625" style="51" customWidth="1"/>
    <col min="6658" max="6658" width="18.42578125" style="51" bestFit="1" customWidth="1"/>
    <col min="6659" max="6662" width="12.42578125" style="51" bestFit="1" customWidth="1"/>
    <col min="6663" max="6663" width="11.7109375" style="51" bestFit="1" customWidth="1"/>
    <col min="6664" max="6912" width="9.140625" style="51"/>
    <col min="6913" max="6913" width="37.28515625" style="51" customWidth="1"/>
    <col min="6914" max="6914" width="18.42578125" style="51" bestFit="1" customWidth="1"/>
    <col min="6915" max="6918" width="12.42578125" style="51" bestFit="1" customWidth="1"/>
    <col min="6919" max="6919" width="11.7109375" style="51" bestFit="1" customWidth="1"/>
    <col min="6920" max="7168" width="9.140625" style="51"/>
    <col min="7169" max="7169" width="37.28515625" style="51" customWidth="1"/>
    <col min="7170" max="7170" width="18.42578125" style="51" bestFit="1" customWidth="1"/>
    <col min="7171" max="7174" width="12.42578125" style="51" bestFit="1" customWidth="1"/>
    <col min="7175" max="7175" width="11.7109375" style="51" bestFit="1" customWidth="1"/>
    <col min="7176" max="7424" width="9.140625" style="51"/>
    <col min="7425" max="7425" width="37.28515625" style="51" customWidth="1"/>
    <col min="7426" max="7426" width="18.42578125" style="51" bestFit="1" customWidth="1"/>
    <col min="7427" max="7430" width="12.42578125" style="51" bestFit="1" customWidth="1"/>
    <col min="7431" max="7431" width="11.7109375" style="51" bestFit="1" customWidth="1"/>
    <col min="7432" max="7680" width="9.140625" style="51"/>
    <col min="7681" max="7681" width="37.28515625" style="51" customWidth="1"/>
    <col min="7682" max="7682" width="18.42578125" style="51" bestFit="1" customWidth="1"/>
    <col min="7683" max="7686" width="12.42578125" style="51" bestFit="1" customWidth="1"/>
    <col min="7687" max="7687" width="11.7109375" style="51" bestFit="1" customWidth="1"/>
    <col min="7688" max="7936" width="9.140625" style="51"/>
    <col min="7937" max="7937" width="37.28515625" style="51" customWidth="1"/>
    <col min="7938" max="7938" width="18.42578125" style="51" bestFit="1" customWidth="1"/>
    <col min="7939" max="7942" width="12.42578125" style="51" bestFit="1" customWidth="1"/>
    <col min="7943" max="7943" width="11.7109375" style="51" bestFit="1" customWidth="1"/>
    <col min="7944" max="8192" width="9.140625" style="51"/>
    <col min="8193" max="8193" width="37.28515625" style="51" customWidth="1"/>
    <col min="8194" max="8194" width="18.42578125" style="51" bestFit="1" customWidth="1"/>
    <col min="8195" max="8198" width="12.42578125" style="51" bestFit="1" customWidth="1"/>
    <col min="8199" max="8199" width="11.7109375" style="51" bestFit="1" customWidth="1"/>
    <col min="8200" max="8448" width="9.140625" style="51"/>
    <col min="8449" max="8449" width="37.28515625" style="51" customWidth="1"/>
    <col min="8450" max="8450" width="18.42578125" style="51" bestFit="1" customWidth="1"/>
    <col min="8451" max="8454" width="12.42578125" style="51" bestFit="1" customWidth="1"/>
    <col min="8455" max="8455" width="11.7109375" style="51" bestFit="1" customWidth="1"/>
    <col min="8456" max="8704" width="9.140625" style="51"/>
    <col min="8705" max="8705" width="37.28515625" style="51" customWidth="1"/>
    <col min="8706" max="8706" width="18.42578125" style="51" bestFit="1" customWidth="1"/>
    <col min="8707" max="8710" width="12.42578125" style="51" bestFit="1" customWidth="1"/>
    <col min="8711" max="8711" width="11.7109375" style="51" bestFit="1" customWidth="1"/>
    <col min="8712" max="8960" width="9.140625" style="51"/>
    <col min="8961" max="8961" width="37.28515625" style="51" customWidth="1"/>
    <col min="8962" max="8962" width="18.42578125" style="51" bestFit="1" customWidth="1"/>
    <col min="8963" max="8966" width="12.42578125" style="51" bestFit="1" customWidth="1"/>
    <col min="8967" max="8967" width="11.7109375" style="51" bestFit="1" customWidth="1"/>
    <col min="8968" max="9216" width="9.140625" style="51"/>
    <col min="9217" max="9217" width="37.28515625" style="51" customWidth="1"/>
    <col min="9218" max="9218" width="18.42578125" style="51" bestFit="1" customWidth="1"/>
    <col min="9219" max="9222" width="12.42578125" style="51" bestFit="1" customWidth="1"/>
    <col min="9223" max="9223" width="11.7109375" style="51" bestFit="1" customWidth="1"/>
    <col min="9224" max="9472" width="9.140625" style="51"/>
    <col min="9473" max="9473" width="37.28515625" style="51" customWidth="1"/>
    <col min="9474" max="9474" width="18.42578125" style="51" bestFit="1" customWidth="1"/>
    <col min="9475" max="9478" width="12.42578125" style="51" bestFit="1" customWidth="1"/>
    <col min="9479" max="9479" width="11.7109375" style="51" bestFit="1" customWidth="1"/>
    <col min="9480" max="9728" width="9.140625" style="51"/>
    <col min="9729" max="9729" width="37.28515625" style="51" customWidth="1"/>
    <col min="9730" max="9730" width="18.42578125" style="51" bestFit="1" customWidth="1"/>
    <col min="9731" max="9734" width="12.42578125" style="51" bestFit="1" customWidth="1"/>
    <col min="9735" max="9735" width="11.7109375" style="51" bestFit="1" customWidth="1"/>
    <col min="9736" max="9984" width="9.140625" style="51"/>
    <col min="9985" max="9985" width="37.28515625" style="51" customWidth="1"/>
    <col min="9986" max="9986" width="18.42578125" style="51" bestFit="1" customWidth="1"/>
    <col min="9987" max="9990" width="12.42578125" style="51" bestFit="1" customWidth="1"/>
    <col min="9991" max="9991" width="11.7109375" style="51" bestFit="1" customWidth="1"/>
    <col min="9992" max="10240" width="9.140625" style="51"/>
    <col min="10241" max="10241" width="37.28515625" style="51" customWidth="1"/>
    <col min="10242" max="10242" width="18.42578125" style="51" bestFit="1" customWidth="1"/>
    <col min="10243" max="10246" width="12.42578125" style="51" bestFit="1" customWidth="1"/>
    <col min="10247" max="10247" width="11.7109375" style="51" bestFit="1" customWidth="1"/>
    <col min="10248" max="10496" width="9.140625" style="51"/>
    <col min="10497" max="10497" width="37.28515625" style="51" customWidth="1"/>
    <col min="10498" max="10498" width="18.42578125" style="51" bestFit="1" customWidth="1"/>
    <col min="10499" max="10502" width="12.42578125" style="51" bestFit="1" customWidth="1"/>
    <col min="10503" max="10503" width="11.7109375" style="51" bestFit="1" customWidth="1"/>
    <col min="10504" max="10752" width="9.140625" style="51"/>
    <col min="10753" max="10753" width="37.28515625" style="51" customWidth="1"/>
    <col min="10754" max="10754" width="18.42578125" style="51" bestFit="1" customWidth="1"/>
    <col min="10755" max="10758" width="12.42578125" style="51" bestFit="1" customWidth="1"/>
    <col min="10759" max="10759" width="11.7109375" style="51" bestFit="1" customWidth="1"/>
    <col min="10760" max="11008" width="9.140625" style="51"/>
    <col min="11009" max="11009" width="37.28515625" style="51" customWidth="1"/>
    <col min="11010" max="11010" width="18.42578125" style="51" bestFit="1" customWidth="1"/>
    <col min="11011" max="11014" width="12.42578125" style="51" bestFit="1" customWidth="1"/>
    <col min="11015" max="11015" width="11.7109375" style="51" bestFit="1" customWidth="1"/>
    <col min="11016" max="11264" width="9.140625" style="51"/>
    <col min="11265" max="11265" width="37.28515625" style="51" customWidth="1"/>
    <col min="11266" max="11266" width="18.42578125" style="51" bestFit="1" customWidth="1"/>
    <col min="11267" max="11270" width="12.42578125" style="51" bestFit="1" customWidth="1"/>
    <col min="11271" max="11271" width="11.7109375" style="51" bestFit="1" customWidth="1"/>
    <col min="11272" max="11520" width="9.140625" style="51"/>
    <col min="11521" max="11521" width="37.28515625" style="51" customWidth="1"/>
    <col min="11522" max="11522" width="18.42578125" style="51" bestFit="1" customWidth="1"/>
    <col min="11523" max="11526" width="12.42578125" style="51" bestFit="1" customWidth="1"/>
    <col min="11527" max="11527" width="11.7109375" style="51" bestFit="1" customWidth="1"/>
    <col min="11528" max="11776" width="9.140625" style="51"/>
    <col min="11777" max="11777" width="37.28515625" style="51" customWidth="1"/>
    <col min="11778" max="11778" width="18.42578125" style="51" bestFit="1" customWidth="1"/>
    <col min="11779" max="11782" width="12.42578125" style="51" bestFit="1" customWidth="1"/>
    <col min="11783" max="11783" width="11.7109375" style="51" bestFit="1" customWidth="1"/>
    <col min="11784" max="12032" width="9.140625" style="51"/>
    <col min="12033" max="12033" width="37.28515625" style="51" customWidth="1"/>
    <col min="12034" max="12034" width="18.42578125" style="51" bestFit="1" customWidth="1"/>
    <col min="12035" max="12038" width="12.42578125" style="51" bestFit="1" customWidth="1"/>
    <col min="12039" max="12039" width="11.7109375" style="51" bestFit="1" customWidth="1"/>
    <col min="12040" max="12288" width="9.140625" style="51"/>
    <col min="12289" max="12289" width="37.28515625" style="51" customWidth="1"/>
    <col min="12290" max="12290" width="18.42578125" style="51" bestFit="1" customWidth="1"/>
    <col min="12291" max="12294" width="12.42578125" style="51" bestFit="1" customWidth="1"/>
    <col min="12295" max="12295" width="11.7109375" style="51" bestFit="1" customWidth="1"/>
    <col min="12296" max="12544" width="9.140625" style="51"/>
    <col min="12545" max="12545" width="37.28515625" style="51" customWidth="1"/>
    <col min="12546" max="12546" width="18.42578125" style="51" bestFit="1" customWidth="1"/>
    <col min="12547" max="12550" width="12.42578125" style="51" bestFit="1" customWidth="1"/>
    <col min="12551" max="12551" width="11.7109375" style="51" bestFit="1" customWidth="1"/>
    <col min="12552" max="12800" width="9.140625" style="51"/>
    <col min="12801" max="12801" width="37.28515625" style="51" customWidth="1"/>
    <col min="12802" max="12802" width="18.42578125" style="51" bestFit="1" customWidth="1"/>
    <col min="12803" max="12806" width="12.42578125" style="51" bestFit="1" customWidth="1"/>
    <col min="12807" max="12807" width="11.7109375" style="51" bestFit="1" customWidth="1"/>
    <col min="12808" max="13056" width="9.140625" style="51"/>
    <col min="13057" max="13057" width="37.28515625" style="51" customWidth="1"/>
    <col min="13058" max="13058" width="18.42578125" style="51" bestFit="1" customWidth="1"/>
    <col min="13059" max="13062" width="12.42578125" style="51" bestFit="1" customWidth="1"/>
    <col min="13063" max="13063" width="11.7109375" style="51" bestFit="1" customWidth="1"/>
    <col min="13064" max="13312" width="9.140625" style="51"/>
    <col min="13313" max="13313" width="37.28515625" style="51" customWidth="1"/>
    <col min="13314" max="13314" width="18.42578125" style="51" bestFit="1" customWidth="1"/>
    <col min="13315" max="13318" width="12.42578125" style="51" bestFit="1" customWidth="1"/>
    <col min="13319" max="13319" width="11.7109375" style="51" bestFit="1" customWidth="1"/>
    <col min="13320" max="13568" width="9.140625" style="51"/>
    <col min="13569" max="13569" width="37.28515625" style="51" customWidth="1"/>
    <col min="13570" max="13570" width="18.42578125" style="51" bestFit="1" customWidth="1"/>
    <col min="13571" max="13574" width="12.42578125" style="51" bestFit="1" customWidth="1"/>
    <col min="13575" max="13575" width="11.7109375" style="51" bestFit="1" customWidth="1"/>
    <col min="13576" max="13824" width="9.140625" style="51"/>
    <col min="13825" max="13825" width="37.28515625" style="51" customWidth="1"/>
    <col min="13826" max="13826" width="18.42578125" style="51" bestFit="1" customWidth="1"/>
    <col min="13827" max="13830" width="12.42578125" style="51" bestFit="1" customWidth="1"/>
    <col min="13831" max="13831" width="11.7109375" style="51" bestFit="1" customWidth="1"/>
    <col min="13832" max="14080" width="9.140625" style="51"/>
    <col min="14081" max="14081" width="37.28515625" style="51" customWidth="1"/>
    <col min="14082" max="14082" width="18.42578125" style="51" bestFit="1" customWidth="1"/>
    <col min="14083" max="14086" width="12.42578125" style="51" bestFit="1" customWidth="1"/>
    <col min="14087" max="14087" width="11.7109375" style="51" bestFit="1" customWidth="1"/>
    <col min="14088" max="14336" width="9.140625" style="51"/>
    <col min="14337" max="14337" width="37.28515625" style="51" customWidth="1"/>
    <col min="14338" max="14338" width="18.42578125" style="51" bestFit="1" customWidth="1"/>
    <col min="14339" max="14342" width="12.42578125" style="51" bestFit="1" customWidth="1"/>
    <col min="14343" max="14343" width="11.7109375" style="51" bestFit="1" customWidth="1"/>
    <col min="14344" max="14592" width="9.140625" style="51"/>
    <col min="14593" max="14593" width="37.28515625" style="51" customWidth="1"/>
    <col min="14594" max="14594" width="18.42578125" style="51" bestFit="1" customWidth="1"/>
    <col min="14595" max="14598" width="12.42578125" style="51" bestFit="1" customWidth="1"/>
    <col min="14599" max="14599" width="11.7109375" style="51" bestFit="1" customWidth="1"/>
    <col min="14600" max="14848" width="9.140625" style="51"/>
    <col min="14849" max="14849" width="37.28515625" style="51" customWidth="1"/>
    <col min="14850" max="14850" width="18.42578125" style="51" bestFit="1" customWidth="1"/>
    <col min="14851" max="14854" width="12.42578125" style="51" bestFit="1" customWidth="1"/>
    <col min="14855" max="14855" width="11.7109375" style="51" bestFit="1" customWidth="1"/>
    <col min="14856" max="15104" width="9.140625" style="51"/>
    <col min="15105" max="15105" width="37.28515625" style="51" customWidth="1"/>
    <col min="15106" max="15106" width="18.42578125" style="51" bestFit="1" customWidth="1"/>
    <col min="15107" max="15110" width="12.42578125" style="51" bestFit="1" customWidth="1"/>
    <col min="15111" max="15111" width="11.7109375" style="51" bestFit="1" customWidth="1"/>
    <col min="15112" max="15360" width="9.140625" style="51"/>
    <col min="15361" max="15361" width="37.28515625" style="51" customWidth="1"/>
    <col min="15362" max="15362" width="18.42578125" style="51" bestFit="1" customWidth="1"/>
    <col min="15363" max="15366" width="12.42578125" style="51" bestFit="1" customWidth="1"/>
    <col min="15367" max="15367" width="11.7109375" style="51" bestFit="1" customWidth="1"/>
    <col min="15368" max="15616" width="9.140625" style="51"/>
    <col min="15617" max="15617" width="37.28515625" style="51" customWidth="1"/>
    <col min="15618" max="15618" width="18.42578125" style="51" bestFit="1" customWidth="1"/>
    <col min="15619" max="15622" width="12.42578125" style="51" bestFit="1" customWidth="1"/>
    <col min="15623" max="15623" width="11.7109375" style="51" bestFit="1" customWidth="1"/>
    <col min="15624" max="15872" width="9.140625" style="51"/>
    <col min="15873" max="15873" width="37.28515625" style="51" customWidth="1"/>
    <col min="15874" max="15874" width="18.42578125" style="51" bestFit="1" customWidth="1"/>
    <col min="15875" max="15878" width="12.42578125" style="51" bestFit="1" customWidth="1"/>
    <col min="15879" max="15879" width="11.7109375" style="51" bestFit="1" customWidth="1"/>
    <col min="15880" max="16128" width="9.140625" style="51"/>
    <col min="16129" max="16129" width="37.28515625" style="51" customWidth="1"/>
    <col min="16130" max="16130" width="18.42578125" style="51" bestFit="1" customWidth="1"/>
    <col min="16131" max="16134" width="12.42578125" style="51" bestFit="1" customWidth="1"/>
    <col min="16135" max="16135" width="11.7109375" style="51" bestFit="1" customWidth="1"/>
    <col min="16136" max="16384" width="9.140625" style="51"/>
  </cols>
  <sheetData>
    <row r="1" spans="1:18">
      <c r="A1" s="432"/>
      <c r="B1" s="432"/>
      <c r="C1" s="432"/>
      <c r="D1" s="432"/>
      <c r="E1" s="432"/>
      <c r="F1" s="432"/>
    </row>
    <row r="2" spans="1:18" ht="18.75">
      <c r="A2" s="448" t="s">
        <v>509</v>
      </c>
      <c r="B2" s="417"/>
      <c r="C2" s="417"/>
      <c r="D2" s="417"/>
      <c r="E2" s="417"/>
      <c r="F2" s="417"/>
      <c r="G2" s="417"/>
      <c r="H2" s="417"/>
      <c r="I2" s="82"/>
    </row>
    <row r="3" spans="1:18">
      <c r="A3" s="83"/>
      <c r="B3" s="53"/>
      <c r="C3" s="53"/>
      <c r="D3" s="53"/>
      <c r="E3" s="53"/>
      <c r="F3" s="53"/>
    </row>
    <row r="4" spans="1:18">
      <c r="A4" s="116" t="s">
        <v>0</v>
      </c>
      <c r="B4" s="117" t="s">
        <v>2</v>
      </c>
      <c r="C4" s="117" t="s">
        <v>3</v>
      </c>
      <c r="D4" s="117" t="s">
        <v>4</v>
      </c>
      <c r="E4" s="117" t="s">
        <v>5</v>
      </c>
      <c r="F4" s="117" t="s">
        <v>6</v>
      </c>
      <c r="G4" s="118" t="s">
        <v>168</v>
      </c>
      <c r="H4" s="118" t="s">
        <v>167</v>
      </c>
    </row>
    <row r="5" spans="1:18" s="52" customFormat="1">
      <c r="A5" s="119"/>
      <c r="B5" s="120"/>
      <c r="C5" s="121"/>
      <c r="D5" s="121"/>
      <c r="E5" s="121"/>
      <c r="F5" s="121"/>
      <c r="G5" s="121"/>
      <c r="H5" s="121"/>
    </row>
    <row r="6" spans="1:18">
      <c r="A6" s="122" t="s">
        <v>49</v>
      </c>
      <c r="B6" s="123"/>
      <c r="C6" s="123"/>
      <c r="D6" s="123"/>
      <c r="E6" s="123"/>
      <c r="F6" s="123"/>
      <c r="G6" s="123"/>
      <c r="H6" s="123"/>
    </row>
    <row r="7" spans="1:18">
      <c r="A7" s="124" t="s">
        <v>50</v>
      </c>
      <c r="B7" s="125"/>
      <c r="C7" s="125"/>
      <c r="D7" s="125"/>
      <c r="E7" s="125"/>
      <c r="F7" s="125"/>
      <c r="G7" s="125"/>
      <c r="H7" s="125"/>
    </row>
    <row r="8" spans="1:18">
      <c r="A8" s="126" t="s">
        <v>238</v>
      </c>
      <c r="B8" s="127">
        <f>'8.Cash Flow '!C33</f>
        <v>1835530.1768739522</v>
      </c>
      <c r="C8" s="127">
        <f>'8.Cash Flow '!D33</f>
        <v>2783279.560113512</v>
      </c>
      <c r="D8" s="127">
        <f>'8.Cash Flow '!E33</f>
        <v>3865719.5612132475</v>
      </c>
      <c r="E8" s="127">
        <f>'8.Cash Flow '!F33</f>
        <v>5099497.9459125474</v>
      </c>
      <c r="F8" s="127">
        <f>'8.Cash Flow '!G33</f>
        <v>6501566.1230778024</v>
      </c>
      <c r="G8" s="127">
        <f>'8.Cash Flow '!H33</f>
        <v>8083843.7907173261</v>
      </c>
      <c r="H8" s="127">
        <f>'8.Cash Flow '!I33</f>
        <v>9870090.3535536602</v>
      </c>
      <c r="K8" s="66"/>
      <c r="L8" s="66"/>
      <c r="M8" s="66"/>
      <c r="N8" s="66"/>
      <c r="O8" s="66"/>
      <c r="P8" s="66"/>
      <c r="Q8" s="66"/>
      <c r="R8" s="66"/>
    </row>
    <row r="9" spans="1:18">
      <c r="A9" s="128" t="s">
        <v>239</v>
      </c>
      <c r="B9" s="129"/>
      <c r="C9" s="129"/>
      <c r="D9" s="129"/>
      <c r="E9" s="129"/>
      <c r="F9" s="129"/>
      <c r="G9" s="129"/>
      <c r="H9" s="129"/>
      <c r="K9" s="66"/>
      <c r="L9" s="66"/>
      <c r="M9" s="66"/>
      <c r="N9" s="66"/>
      <c r="O9" s="66"/>
      <c r="P9" s="66"/>
      <c r="Q9" s="66"/>
      <c r="R9" s="66"/>
    </row>
    <row r="10" spans="1:18">
      <c r="A10" s="128" t="s">
        <v>538</v>
      </c>
      <c r="B10" s="129"/>
      <c r="C10" s="129"/>
      <c r="D10" s="129"/>
      <c r="E10" s="129"/>
      <c r="F10" s="129"/>
      <c r="G10" s="129"/>
      <c r="H10" s="129"/>
      <c r="K10" s="66"/>
      <c r="L10" s="66"/>
      <c r="M10" s="66"/>
      <c r="N10" s="66"/>
      <c r="O10" s="66"/>
      <c r="P10" s="66"/>
      <c r="Q10" s="66"/>
      <c r="R10" s="66"/>
    </row>
    <row r="11" spans="1:18">
      <c r="A11" s="124" t="s">
        <v>240</v>
      </c>
      <c r="B11" s="127">
        <f t="shared" ref="B11:H11" si="0">SUM(B8:B10)</f>
        <v>1835530.1768739522</v>
      </c>
      <c r="C11" s="127">
        <f t="shared" si="0"/>
        <v>2783279.560113512</v>
      </c>
      <c r="D11" s="127">
        <f t="shared" si="0"/>
        <v>3865719.5612132475</v>
      </c>
      <c r="E11" s="127">
        <f t="shared" si="0"/>
        <v>5099497.9459125474</v>
      </c>
      <c r="F11" s="127">
        <f t="shared" si="0"/>
        <v>6501566.1230778024</v>
      </c>
      <c r="G11" s="127">
        <f t="shared" si="0"/>
        <v>8083843.7907173261</v>
      </c>
      <c r="H11" s="127">
        <f t="shared" si="0"/>
        <v>9870090.3535536602</v>
      </c>
    </row>
    <row r="12" spans="1:18">
      <c r="A12" s="124"/>
      <c r="B12" s="129"/>
      <c r="C12" s="129"/>
      <c r="D12" s="129"/>
      <c r="E12" s="129"/>
      <c r="F12" s="129"/>
      <c r="G12" s="129"/>
      <c r="H12" s="129"/>
      <c r="J12" s="66"/>
      <c r="K12" s="66"/>
      <c r="L12" s="66"/>
      <c r="M12" s="66"/>
      <c r="N12" s="66"/>
      <c r="O12" s="66"/>
      <c r="P12" s="66"/>
      <c r="Q12" s="66"/>
    </row>
    <row r="13" spans="1:18">
      <c r="A13" s="130" t="s">
        <v>241</v>
      </c>
      <c r="B13" s="129">
        <f>'3.Other Exp &amp; Taxes'!C65</f>
        <v>4223294</v>
      </c>
      <c r="C13" s="129">
        <f>'3.Other Exp &amp; Taxes'!D65</f>
        <v>3986039.0105000003</v>
      </c>
      <c r="D13" s="129">
        <f>'3.Other Exp &amp; Taxes'!E65</f>
        <v>3748784.0210000002</v>
      </c>
      <c r="E13" s="129">
        <f>'3.Other Exp &amp; Taxes'!F65</f>
        <v>3511529.0314999996</v>
      </c>
      <c r="F13" s="129">
        <f>'3.Other Exp &amp; Taxes'!G65</f>
        <v>3274274.0419999999</v>
      </c>
      <c r="G13" s="129">
        <f>'3.Other Exp &amp; Taxes'!H65</f>
        <v>3037019.0525000002</v>
      </c>
      <c r="H13" s="129">
        <f>'3.Other Exp &amp; Taxes'!I65</f>
        <v>2799764.0630000001</v>
      </c>
    </row>
    <row r="14" spans="1:18">
      <c r="A14" s="130" t="s">
        <v>242</v>
      </c>
      <c r="B14" s="129">
        <f>'3.Other Exp &amp; Taxes'!C66</f>
        <v>237254.98949999997</v>
      </c>
      <c r="C14" s="129">
        <f>'3.Other Exp &amp; Taxes'!D66</f>
        <v>237254.98949999997</v>
      </c>
      <c r="D14" s="129">
        <f>'3.Other Exp &amp; Taxes'!E66</f>
        <v>237254.98949999997</v>
      </c>
      <c r="E14" s="129">
        <f>'3.Other Exp &amp; Taxes'!F66</f>
        <v>237254.98949999997</v>
      </c>
      <c r="F14" s="129">
        <f>'3.Other Exp &amp; Taxes'!G66</f>
        <v>237254.98949999997</v>
      </c>
      <c r="G14" s="129">
        <f>'3.Other Exp &amp; Taxes'!H66</f>
        <v>237254.98949999997</v>
      </c>
      <c r="H14" s="129">
        <f>'3.Other Exp &amp; Taxes'!I66</f>
        <v>237254.98949999997</v>
      </c>
      <c r="K14" s="66"/>
      <c r="L14" s="66"/>
      <c r="M14" s="66"/>
      <c r="N14" s="66"/>
      <c r="O14" s="66"/>
      <c r="P14" s="66"/>
      <c r="Q14" s="66"/>
    </row>
    <row r="15" spans="1:18" s="53" customFormat="1">
      <c r="A15" s="124" t="s">
        <v>187</v>
      </c>
      <c r="B15" s="127">
        <f t="shared" ref="B15:H15" si="1">B13-B14</f>
        <v>3986039.0104999999</v>
      </c>
      <c r="C15" s="127">
        <f t="shared" si="1"/>
        <v>3748784.0210000002</v>
      </c>
      <c r="D15" s="127">
        <f t="shared" si="1"/>
        <v>3511529.0315</v>
      </c>
      <c r="E15" s="127">
        <f t="shared" si="1"/>
        <v>3274274.0419999994</v>
      </c>
      <c r="F15" s="127">
        <f t="shared" si="1"/>
        <v>3037019.0524999998</v>
      </c>
      <c r="G15" s="127">
        <f t="shared" si="1"/>
        <v>2799764.0630000001</v>
      </c>
      <c r="H15" s="127">
        <f t="shared" si="1"/>
        <v>2562509.0734999999</v>
      </c>
    </row>
    <row r="16" spans="1:18" s="53" customFormat="1">
      <c r="A16" s="124"/>
      <c r="B16" s="127"/>
      <c r="C16" s="127"/>
      <c r="D16" s="127"/>
      <c r="E16" s="127"/>
      <c r="F16" s="127"/>
      <c r="G16" s="127"/>
      <c r="H16" s="127"/>
    </row>
    <row r="17" spans="1:8" s="53" customFormat="1">
      <c r="A17" s="131"/>
      <c r="B17" s="127"/>
      <c r="C17" s="127"/>
      <c r="D17" s="127"/>
      <c r="E17" s="127"/>
      <c r="F17" s="127"/>
      <c r="G17" s="127"/>
      <c r="H17" s="127"/>
    </row>
    <row r="18" spans="1:8" s="53" customFormat="1">
      <c r="A18" s="124" t="s">
        <v>473</v>
      </c>
      <c r="B18" s="127">
        <f>'8.Cash Flow '!C20-'6.Cons Profit &amp; Loss'!B34</f>
        <v>85600</v>
      </c>
      <c r="C18" s="127">
        <f>B18-'6.Cons Profit &amp; Loss'!C34</f>
        <v>64200</v>
      </c>
      <c r="D18" s="127">
        <f>C18-'6.Cons Profit &amp; Loss'!D34</f>
        <v>42800</v>
      </c>
      <c r="E18" s="127">
        <f>D18-'6.Cons Profit &amp; Loss'!E34</f>
        <v>21400</v>
      </c>
      <c r="F18" s="127">
        <f>E18-'6.Cons Profit &amp; Loss'!F34</f>
        <v>0</v>
      </c>
      <c r="G18" s="127">
        <f>F18-'6.Cons Profit &amp; Loss'!G34</f>
        <v>0</v>
      </c>
      <c r="H18" s="127">
        <f>G18-'6.Cons Profit &amp; Loss'!H34</f>
        <v>0</v>
      </c>
    </row>
    <row r="19" spans="1:8">
      <c r="A19" s="130"/>
      <c r="B19" s="129"/>
      <c r="C19" s="129"/>
      <c r="D19" s="129"/>
      <c r="E19" s="129"/>
      <c r="F19" s="129"/>
      <c r="G19" s="129"/>
      <c r="H19" s="129"/>
    </row>
    <row r="20" spans="1:8">
      <c r="A20" s="131" t="s">
        <v>244</v>
      </c>
      <c r="B20" s="132">
        <f t="shared" ref="B20:H20" si="2">B11+B15+B17+B18</f>
        <v>5907169.187373952</v>
      </c>
      <c r="C20" s="132">
        <f t="shared" si="2"/>
        <v>6596263.5811135117</v>
      </c>
      <c r="D20" s="132">
        <f t="shared" si="2"/>
        <v>7420048.592713248</v>
      </c>
      <c r="E20" s="132">
        <f t="shared" si="2"/>
        <v>8395171.9879125468</v>
      </c>
      <c r="F20" s="132">
        <f t="shared" si="2"/>
        <v>9538585.1755778026</v>
      </c>
      <c r="G20" s="132">
        <f t="shared" si="2"/>
        <v>10883607.853717327</v>
      </c>
      <c r="H20" s="132">
        <f t="shared" si="2"/>
        <v>12432599.42705366</v>
      </c>
    </row>
    <row r="21" spans="1:8">
      <c r="A21" s="119"/>
      <c r="B21" s="133"/>
      <c r="C21" s="133"/>
      <c r="D21" s="133"/>
      <c r="E21" s="133"/>
      <c r="F21" s="133"/>
      <c r="G21" s="133"/>
      <c r="H21" s="133"/>
    </row>
    <row r="22" spans="1:8">
      <c r="A22" s="122" t="s">
        <v>245</v>
      </c>
      <c r="B22" s="134"/>
      <c r="C22" s="134"/>
      <c r="D22" s="134"/>
      <c r="E22" s="134"/>
      <c r="F22" s="134"/>
      <c r="G22" s="134"/>
      <c r="H22" s="134"/>
    </row>
    <row r="23" spans="1:8">
      <c r="A23" s="124" t="s">
        <v>246</v>
      </c>
      <c r="B23" s="134"/>
      <c r="C23" s="134"/>
      <c r="D23" s="134"/>
      <c r="E23" s="134"/>
      <c r="F23" s="134"/>
      <c r="G23" s="134"/>
      <c r="H23" s="134"/>
    </row>
    <row r="24" spans="1:8">
      <c r="A24" s="128" t="s">
        <v>247</v>
      </c>
      <c r="B24" s="127"/>
      <c r="C24" s="127"/>
      <c r="D24" s="127"/>
      <c r="E24" s="127"/>
      <c r="F24" s="127"/>
      <c r="G24" s="127"/>
      <c r="H24" s="127"/>
    </row>
    <row r="25" spans="1:8">
      <c r="A25" s="128" t="s">
        <v>248</v>
      </c>
      <c r="B25" s="133"/>
      <c r="C25" s="133"/>
      <c r="D25" s="133"/>
      <c r="E25" s="133"/>
      <c r="F25" s="133"/>
      <c r="G25" s="133"/>
      <c r="H25" s="133"/>
    </row>
    <row r="26" spans="1:8" s="52" customFormat="1">
      <c r="A26" s="128" t="s">
        <v>249</v>
      </c>
      <c r="B26" s="127"/>
      <c r="C26" s="127"/>
      <c r="D26" s="127"/>
      <c r="E26" s="127"/>
      <c r="F26" s="127"/>
      <c r="G26" s="127"/>
      <c r="H26" s="127"/>
    </row>
    <row r="27" spans="1:8" s="52" customFormat="1">
      <c r="A27" s="124" t="s">
        <v>250</v>
      </c>
      <c r="B27" s="132">
        <f t="shared" ref="B27:H27" si="3">SUM(B24:B26)</f>
        <v>0</v>
      </c>
      <c r="C27" s="132">
        <f t="shared" si="3"/>
        <v>0</v>
      </c>
      <c r="D27" s="132">
        <f t="shared" si="3"/>
        <v>0</v>
      </c>
      <c r="E27" s="132">
        <f t="shared" si="3"/>
        <v>0</v>
      </c>
      <c r="F27" s="132">
        <f t="shared" si="3"/>
        <v>0</v>
      </c>
      <c r="G27" s="132">
        <f t="shared" si="3"/>
        <v>0</v>
      </c>
      <c r="H27" s="132">
        <f t="shared" si="3"/>
        <v>0</v>
      </c>
    </row>
    <row r="28" spans="1:8" s="52" customFormat="1">
      <c r="A28" s="124" t="s">
        <v>251</v>
      </c>
      <c r="B28" s="132">
        <f>'4.TL repayment sch'!G21</f>
        <v>0</v>
      </c>
      <c r="C28" s="132">
        <f>'4.TL repayment sch'!G33</f>
        <v>0</v>
      </c>
      <c r="D28" s="132">
        <f>'4.TL repayment sch'!G45</f>
        <v>0</v>
      </c>
      <c r="E28" s="132">
        <f>'4.TL repayment sch'!G57</f>
        <v>0</v>
      </c>
      <c r="F28" s="132">
        <f>'4.TL repayment sch'!G69</f>
        <v>0</v>
      </c>
      <c r="G28" s="132">
        <f>'4.TL repayment sch'!G81</f>
        <v>0</v>
      </c>
      <c r="H28" s="132">
        <f>'[1]Term Loan'!J72+'[1]Term Loan'!S72</f>
        <v>0</v>
      </c>
    </row>
    <row r="29" spans="1:8" s="52" customFormat="1">
      <c r="A29" s="124" t="s">
        <v>252</v>
      </c>
      <c r="B29" s="132"/>
      <c r="C29" s="132"/>
      <c r="D29" s="132"/>
      <c r="E29" s="132"/>
      <c r="F29" s="132"/>
      <c r="G29" s="132"/>
      <c r="H29" s="132"/>
    </row>
    <row r="30" spans="1:8" s="52" customFormat="1">
      <c r="A30" s="124"/>
      <c r="B30" s="135"/>
      <c r="C30" s="135"/>
      <c r="D30" s="135"/>
      <c r="E30" s="135"/>
      <c r="F30" s="135"/>
      <c r="G30" s="135"/>
      <c r="H30" s="135"/>
    </row>
    <row r="31" spans="1:8">
      <c r="A31" s="131" t="s">
        <v>253</v>
      </c>
      <c r="B31" s="132">
        <f t="shared" ref="B31:H31" si="4">SUM(B27:B29)</f>
        <v>0</v>
      </c>
      <c r="C31" s="132">
        <f t="shared" si="4"/>
        <v>0</v>
      </c>
      <c r="D31" s="132">
        <f t="shared" si="4"/>
        <v>0</v>
      </c>
      <c r="E31" s="132">
        <f t="shared" si="4"/>
        <v>0</v>
      </c>
      <c r="F31" s="132">
        <f t="shared" si="4"/>
        <v>0</v>
      </c>
      <c r="G31" s="132">
        <f t="shared" si="4"/>
        <v>0</v>
      </c>
      <c r="H31" s="132">
        <f t="shared" si="4"/>
        <v>0</v>
      </c>
    </row>
    <row r="32" spans="1:8">
      <c r="A32" s="119"/>
      <c r="B32" s="136"/>
      <c r="C32" s="136"/>
      <c r="D32" s="136"/>
      <c r="E32" s="136"/>
      <c r="F32" s="136"/>
      <c r="G32" s="136"/>
      <c r="H32" s="136"/>
    </row>
    <row r="33" spans="1:8">
      <c r="A33" s="130" t="s">
        <v>254</v>
      </c>
      <c r="B33" s="129">
        <f>'1.Project Cost and MOF'!E21</f>
        <v>2565415.9474063111</v>
      </c>
      <c r="C33" s="129">
        <f>B33</f>
        <v>2565415.9474063111</v>
      </c>
      <c r="D33" s="129">
        <f t="shared" ref="D33:H34" si="5">C33</f>
        <v>2565415.9474063111</v>
      </c>
      <c r="E33" s="129">
        <f t="shared" si="5"/>
        <v>2565415.9474063111</v>
      </c>
      <c r="F33" s="129">
        <f t="shared" si="5"/>
        <v>2565415.9474063111</v>
      </c>
      <c r="G33" s="129">
        <f t="shared" si="5"/>
        <v>2565415.9474063111</v>
      </c>
      <c r="H33" s="129">
        <f t="shared" si="5"/>
        <v>2565415.9474063111</v>
      </c>
    </row>
    <row r="34" spans="1:8">
      <c r="A34" s="130" t="s">
        <v>474</v>
      </c>
      <c r="B34" s="129">
        <f>'1.Project Cost and MOF'!E19</f>
        <v>2598176.4</v>
      </c>
      <c r="C34" s="129">
        <f>B34</f>
        <v>2598176.4</v>
      </c>
      <c r="D34" s="129">
        <f t="shared" si="5"/>
        <v>2598176.4</v>
      </c>
      <c r="E34" s="129">
        <f t="shared" si="5"/>
        <v>2598176.4</v>
      </c>
      <c r="F34" s="129">
        <f t="shared" si="5"/>
        <v>2598176.4</v>
      </c>
      <c r="G34" s="129">
        <f t="shared" si="5"/>
        <v>2598176.4</v>
      </c>
      <c r="H34" s="129">
        <f t="shared" si="5"/>
        <v>2598176.4</v>
      </c>
    </row>
    <row r="35" spans="1:8">
      <c r="A35" s="124" t="s">
        <v>255</v>
      </c>
      <c r="B35" s="129"/>
      <c r="C35" s="129"/>
      <c r="D35" s="129"/>
      <c r="E35" s="129"/>
      <c r="F35" s="129"/>
      <c r="G35" s="129"/>
      <c r="H35" s="129"/>
    </row>
    <row r="36" spans="1:8">
      <c r="A36" s="130" t="s">
        <v>256</v>
      </c>
      <c r="B36" s="129">
        <v>0</v>
      </c>
      <c r="C36" s="129">
        <f t="shared" ref="C36:H36" si="6">B39</f>
        <v>743576.83996764093</v>
      </c>
      <c r="D36" s="129">
        <f t="shared" si="6"/>
        <v>1432671.2337071993</v>
      </c>
      <c r="E36" s="129">
        <f t="shared" si="6"/>
        <v>2256456.2453069314</v>
      </c>
      <c r="F36" s="129">
        <f t="shared" si="6"/>
        <v>3231579.6405062256</v>
      </c>
      <c r="G36" s="129">
        <f t="shared" si="6"/>
        <v>4374992.8281714767</v>
      </c>
      <c r="H36" s="129">
        <f t="shared" si="6"/>
        <v>5720015.5063109994</v>
      </c>
    </row>
    <row r="37" spans="1:8">
      <c r="A37" s="130" t="s">
        <v>257</v>
      </c>
      <c r="B37" s="129">
        <f>'6.Cons Profit &amp; Loss'!B44</f>
        <v>743576.83996764093</v>
      </c>
      <c r="C37" s="129">
        <f>'6.Cons Profit &amp; Loss'!C42</f>
        <v>689094.39373955841</v>
      </c>
      <c r="D37" s="129">
        <f>'6.Cons Profit &amp; Loss'!D42</f>
        <v>823785.01159973198</v>
      </c>
      <c r="E37" s="129">
        <f>'6.Cons Profit &amp; Loss'!E42</f>
        <v>975123.3951992942</v>
      </c>
      <c r="F37" s="129">
        <f>'6.Cons Profit &amp; Loss'!F42</f>
        <v>1143413.1876652511</v>
      </c>
      <c r="G37" s="129">
        <f>'6.Cons Profit &amp; Loss'!G42</f>
        <v>1345022.6781395227</v>
      </c>
      <c r="H37" s="129">
        <f>'6.Cons Profit &amp; Loss'!H42</f>
        <v>1548991.5733363414</v>
      </c>
    </row>
    <row r="38" spans="1:8">
      <c r="A38" s="130" t="s">
        <v>258</v>
      </c>
      <c r="B38" s="129"/>
      <c r="C38" s="129"/>
      <c r="D38" s="129"/>
      <c r="E38" s="129"/>
      <c r="F38" s="129"/>
      <c r="G38" s="129"/>
      <c r="H38" s="129"/>
    </row>
    <row r="39" spans="1:8">
      <c r="A39" s="130" t="s">
        <v>259</v>
      </c>
      <c r="B39" s="129">
        <f t="shared" ref="B39:H39" si="7">B36+B37-B38</f>
        <v>743576.83996764093</v>
      </c>
      <c r="C39" s="129">
        <f t="shared" si="7"/>
        <v>1432671.2337071993</v>
      </c>
      <c r="D39" s="129">
        <f t="shared" si="7"/>
        <v>2256456.2453069314</v>
      </c>
      <c r="E39" s="129">
        <f t="shared" si="7"/>
        <v>3231579.6405062256</v>
      </c>
      <c r="F39" s="129">
        <f t="shared" si="7"/>
        <v>4374992.8281714767</v>
      </c>
      <c r="G39" s="129">
        <f t="shared" si="7"/>
        <v>5720015.5063109994</v>
      </c>
      <c r="H39" s="129">
        <f t="shared" si="7"/>
        <v>7269007.0796473408</v>
      </c>
    </row>
    <row r="40" spans="1:8">
      <c r="A40" s="130"/>
      <c r="B40" s="134"/>
      <c r="C40" s="134"/>
      <c r="D40" s="134"/>
      <c r="E40" s="134"/>
      <c r="F40" s="134"/>
      <c r="G40" s="134"/>
      <c r="H40" s="134"/>
    </row>
    <row r="41" spans="1:8">
      <c r="A41" s="137" t="s">
        <v>260</v>
      </c>
      <c r="B41" s="138">
        <f t="shared" ref="B41:H41" si="8">B33+B39+B34</f>
        <v>5907169.187373952</v>
      </c>
      <c r="C41" s="138">
        <f t="shared" si="8"/>
        <v>6596263.5811135098</v>
      </c>
      <c r="D41" s="138">
        <f t="shared" si="8"/>
        <v>7420048.5927132424</v>
      </c>
      <c r="E41" s="138">
        <f t="shared" si="8"/>
        <v>8395171.9879125375</v>
      </c>
      <c r="F41" s="138">
        <f t="shared" si="8"/>
        <v>9538585.1755777877</v>
      </c>
      <c r="G41" s="138">
        <f t="shared" si="8"/>
        <v>10883607.85371731</v>
      </c>
      <c r="H41" s="138">
        <f t="shared" si="8"/>
        <v>12432599.427053653</v>
      </c>
    </row>
    <row r="42" spans="1:8">
      <c r="A42" s="119"/>
      <c r="B42" s="129"/>
      <c r="C42" s="129"/>
      <c r="D42" s="129"/>
      <c r="E42" s="129"/>
      <c r="F42" s="129"/>
      <c r="G42" s="129"/>
      <c r="H42" s="129"/>
    </row>
    <row r="43" spans="1:8">
      <c r="A43" s="131" t="s">
        <v>261</v>
      </c>
      <c r="B43" s="132">
        <f t="shared" ref="B43:H43" si="9">B31+B41</f>
        <v>5907169.187373952</v>
      </c>
      <c r="C43" s="132">
        <f t="shared" si="9"/>
        <v>6596263.5811135098</v>
      </c>
      <c r="D43" s="132">
        <f t="shared" si="9"/>
        <v>7420048.5927132424</v>
      </c>
      <c r="E43" s="132">
        <f t="shared" si="9"/>
        <v>8395171.9879125375</v>
      </c>
      <c r="F43" s="132">
        <f t="shared" si="9"/>
        <v>9538585.1755777877</v>
      </c>
      <c r="G43" s="132">
        <f t="shared" si="9"/>
        <v>10883607.85371731</v>
      </c>
      <c r="H43" s="132">
        <f t="shared" si="9"/>
        <v>12432599.427053653</v>
      </c>
    </row>
    <row r="44" spans="1:8">
      <c r="A44" s="119"/>
      <c r="B44" s="139"/>
      <c r="C44" s="139"/>
      <c r="D44" s="139"/>
      <c r="E44" s="139"/>
      <c r="F44" s="139"/>
      <c r="G44" s="139"/>
      <c r="H44" s="139"/>
    </row>
    <row r="45" spans="1:8">
      <c r="A45" s="140" t="s">
        <v>262</v>
      </c>
      <c r="B45" s="141"/>
      <c r="C45" s="141"/>
      <c r="D45" s="141"/>
      <c r="E45" s="141"/>
      <c r="F45" s="141"/>
      <c r="G45" s="141"/>
      <c r="H45" s="141"/>
    </row>
    <row r="46" spans="1:8">
      <c r="A46" s="142" t="s">
        <v>263</v>
      </c>
      <c r="B46" s="143">
        <f t="shared" ref="B46:H46" si="10">B43-B20</f>
        <v>0</v>
      </c>
      <c r="C46" s="143">
        <f t="shared" si="10"/>
        <v>0</v>
      </c>
      <c r="D46" s="143">
        <f t="shared" si="10"/>
        <v>0</v>
      </c>
      <c r="E46" s="143">
        <f t="shared" si="10"/>
        <v>0</v>
      </c>
      <c r="F46" s="143">
        <f t="shared" si="10"/>
        <v>-1.4901161193847656E-8</v>
      </c>
      <c r="G46" s="143">
        <f t="shared" si="10"/>
        <v>-1.6763806343078613E-8</v>
      </c>
      <c r="H46" s="143">
        <f t="shared" si="10"/>
        <v>0</v>
      </c>
    </row>
    <row r="47" spans="1:8">
      <c r="A47" s="142"/>
      <c r="B47" s="143"/>
      <c r="C47" s="143"/>
      <c r="D47" s="143"/>
      <c r="E47" s="143"/>
      <c r="F47" s="143"/>
      <c r="G47" s="143"/>
      <c r="H47" s="143"/>
    </row>
    <row r="48" spans="1:8" ht="15.75" thickBot="1">
      <c r="A48" s="144"/>
      <c r="B48" s="145"/>
      <c r="C48" s="145"/>
      <c r="D48" s="145"/>
      <c r="E48" s="145"/>
      <c r="F48" s="145"/>
      <c r="G48" s="145"/>
      <c r="H48" s="145"/>
    </row>
    <row r="49" spans="1:9">
      <c r="B49" s="54"/>
      <c r="C49" s="54"/>
      <c r="D49" s="54"/>
      <c r="E49" s="54"/>
      <c r="F49" s="54"/>
      <c r="G49" s="54"/>
      <c r="H49" s="54"/>
    </row>
    <row r="50" spans="1:9" ht="39.6" customHeight="1">
      <c r="A50" s="449" t="s">
        <v>389</v>
      </c>
      <c r="B50" s="450"/>
      <c r="C50" s="450"/>
      <c r="D50" s="450"/>
      <c r="E50" s="450"/>
      <c r="F50" s="450"/>
      <c r="G50" s="450"/>
      <c r="H50" s="450"/>
      <c r="I50" s="450"/>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1"/>
  <sheetViews>
    <sheetView view="pageBreakPreview" topLeftCell="A3" zoomScale="85" zoomScaleSheetLayoutView="85" workbookViewId="0">
      <selection activeCell="A2" sqref="A2:I3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2"/>
      <c r="B1" s="432"/>
      <c r="C1" s="432"/>
      <c r="D1" s="432"/>
      <c r="E1" s="432"/>
      <c r="F1" s="432"/>
      <c r="G1" s="432"/>
    </row>
    <row r="2" spans="1:10" ht="18.75">
      <c r="A2" s="417" t="s">
        <v>510</v>
      </c>
      <c r="B2" s="417"/>
      <c r="C2" s="417"/>
      <c r="D2" s="417"/>
      <c r="E2" s="417"/>
      <c r="F2" s="417"/>
      <c r="G2" s="417"/>
      <c r="H2" s="417"/>
      <c r="I2" s="417"/>
      <c r="J2" s="82"/>
    </row>
    <row r="4" spans="1:10">
      <c r="A4" s="56" t="s">
        <v>219</v>
      </c>
      <c r="B4" s="56" t="s">
        <v>0</v>
      </c>
      <c r="C4" s="57" t="s">
        <v>2</v>
      </c>
      <c r="D4" s="57" t="s">
        <v>3</v>
      </c>
      <c r="E4" s="57" t="s">
        <v>4</v>
      </c>
      <c r="F4" s="57" t="s">
        <v>5</v>
      </c>
      <c r="G4" s="57" t="s">
        <v>6</v>
      </c>
      <c r="H4" s="57" t="s">
        <v>168</v>
      </c>
      <c r="I4" s="57" t="s">
        <v>167</v>
      </c>
    </row>
    <row r="5" spans="1:10">
      <c r="A5" s="38">
        <v>1</v>
      </c>
      <c r="B5" s="38" t="s">
        <v>7</v>
      </c>
      <c r="C5" s="39"/>
      <c r="D5" s="39"/>
      <c r="E5" s="39"/>
      <c r="F5" s="39"/>
      <c r="G5" s="39"/>
      <c r="H5" s="39"/>
      <c r="I5" s="39"/>
    </row>
    <row r="6" spans="1:10">
      <c r="A6" s="38"/>
      <c r="B6" s="40" t="s">
        <v>344</v>
      </c>
      <c r="C6" s="39">
        <f>'6.Cons Profit &amp; Loss'!B12</f>
        <v>47449578.770324998</v>
      </c>
      <c r="D6" s="39">
        <f>'6.Cons Profit &amp; Loss'!C12</f>
        <v>56627603.105227873</v>
      </c>
      <c r="E6" s="39">
        <f>'6.Cons Profit &amp; Loss'!D12</f>
        <v>64591342.426975615</v>
      </c>
      <c r="F6" s="39">
        <f>'6.Cons Profit &amp; Loss'!E12</f>
        <v>73209886.673135057</v>
      </c>
      <c r="G6" s="39">
        <f>'6.Cons Profit &amp; Loss'!F12</f>
        <v>82528806.987843022</v>
      </c>
      <c r="H6" s="39">
        <f>'6.Cons Profit &amp; Loss'!G12</f>
        <v>92596594.617338926</v>
      </c>
      <c r="I6" s="39">
        <f>'6.Cons Profit &amp; Loss'!H12</f>
        <v>103464838.99231482</v>
      </c>
    </row>
    <row r="7" spans="1:10">
      <c r="A7" s="38">
        <v>2</v>
      </c>
      <c r="B7" s="38" t="s">
        <v>220</v>
      </c>
      <c r="C7" s="39">
        <f>'1.Project Cost and MOF'!E21</f>
        <v>2565415.9474063111</v>
      </c>
      <c r="D7" s="39"/>
      <c r="E7" s="39"/>
      <c r="F7" s="39"/>
      <c r="G7" s="39"/>
      <c r="H7" s="39"/>
      <c r="I7" s="39"/>
    </row>
    <row r="8" spans="1:10">
      <c r="A8" s="38"/>
      <c r="B8" s="38" t="s">
        <v>278</v>
      </c>
      <c r="C8" s="39"/>
      <c r="D8" s="39"/>
      <c r="E8" s="39"/>
      <c r="F8" s="39"/>
      <c r="G8" s="39"/>
      <c r="H8" s="39"/>
      <c r="I8" s="39"/>
    </row>
    <row r="9" spans="1:10">
      <c r="A9" s="38">
        <v>3</v>
      </c>
      <c r="B9" s="38" t="str">
        <f>'7.Balance Sheet'!A34</f>
        <v>Smart Grant -in-Aid</v>
      </c>
      <c r="C9" s="39">
        <f>'1.Project Cost and MOF'!E19</f>
        <v>2598176.4</v>
      </c>
      <c r="D9" s="39"/>
      <c r="E9" s="39"/>
      <c r="F9" s="39"/>
      <c r="G9" s="39"/>
      <c r="H9" s="39"/>
      <c r="I9" s="39"/>
    </row>
    <row r="10" spans="1:10">
      <c r="A10" s="38">
        <v>4</v>
      </c>
      <c r="B10" s="38" t="s">
        <v>221</v>
      </c>
      <c r="C10" s="39">
        <f>'1.Project Cost and MOF'!E20</f>
        <v>0</v>
      </c>
      <c r="D10" s="39"/>
      <c r="E10" s="39"/>
      <c r="F10" s="39"/>
      <c r="G10" s="39"/>
      <c r="H10" s="39"/>
      <c r="I10" s="39"/>
    </row>
    <row r="11" spans="1:10">
      <c r="A11" s="38">
        <v>5</v>
      </c>
      <c r="B11" s="38" t="s">
        <v>222</v>
      </c>
      <c r="C11" s="39">
        <f>'5.Closing Stock &amp; W Capital'!E45*0</f>
        <v>0</v>
      </c>
      <c r="D11" s="39">
        <f>'5.Closing Stock &amp; W Capital'!F45*0</f>
        <v>0</v>
      </c>
      <c r="E11" s="39">
        <f>'5.Closing Stock &amp; W Capital'!G45*0</f>
        <v>0</v>
      </c>
      <c r="F11" s="39">
        <f>'5.Closing Stock &amp; W Capital'!H45*0</f>
        <v>0</v>
      </c>
      <c r="G11" s="39">
        <f>'5.Closing Stock &amp; W Capital'!I45*0</f>
        <v>0</v>
      </c>
      <c r="H11" s="39">
        <f>'5.Closing Stock &amp; W Capital'!J45*0</f>
        <v>0</v>
      </c>
      <c r="I11" s="39">
        <f>'5.Closing Stock &amp; W Capital'!K45*0</f>
        <v>0</v>
      </c>
    </row>
    <row r="12" spans="1:10">
      <c r="A12" s="38"/>
      <c r="B12" s="38" t="s">
        <v>223</v>
      </c>
      <c r="C12" s="41">
        <f t="shared" ref="C12:I12" si="0">SUM(C6:C11)</f>
        <v>52613171.11773131</v>
      </c>
      <c r="D12" s="41">
        <f t="shared" si="0"/>
        <v>56627603.105227873</v>
      </c>
      <c r="E12" s="41">
        <f t="shared" si="0"/>
        <v>64591342.426975615</v>
      </c>
      <c r="F12" s="41">
        <f t="shared" si="0"/>
        <v>73209886.673135057</v>
      </c>
      <c r="G12" s="41">
        <f t="shared" si="0"/>
        <v>82528806.987843022</v>
      </c>
      <c r="H12" s="41">
        <f t="shared" si="0"/>
        <v>92596594.617338926</v>
      </c>
      <c r="I12" s="41">
        <f t="shared" si="0"/>
        <v>103464838.99231482</v>
      </c>
    </row>
    <row r="13" spans="1:10">
      <c r="A13" s="451" t="s">
        <v>224</v>
      </c>
      <c r="B13" s="451"/>
      <c r="C13" s="42"/>
      <c r="D13" s="42"/>
      <c r="E13" s="42"/>
      <c r="F13" s="42"/>
      <c r="G13" s="42"/>
      <c r="H13" s="42"/>
      <c r="I13" s="42"/>
    </row>
    <row r="14" spans="1:10">
      <c r="A14" s="38">
        <v>1</v>
      </c>
      <c r="B14" s="38" t="s">
        <v>225</v>
      </c>
      <c r="C14" s="42"/>
      <c r="D14" s="42"/>
      <c r="E14" s="42"/>
      <c r="F14" s="42"/>
      <c r="G14" s="42"/>
      <c r="H14" s="42"/>
      <c r="I14" s="42"/>
    </row>
    <row r="15" spans="1:10">
      <c r="A15" s="43" t="s">
        <v>226</v>
      </c>
      <c r="B15" s="42" t="str">
        <f>'[1]Total Cost of Project'!C3</f>
        <v>Land and Building</v>
      </c>
      <c r="C15" s="44">
        <f>'1.Project Cost and MOF'!D5</f>
        <v>1058475</v>
      </c>
      <c r="D15" s="44"/>
      <c r="E15" s="44"/>
      <c r="F15" s="44"/>
      <c r="G15" s="44"/>
      <c r="H15" s="44"/>
      <c r="I15" s="44"/>
    </row>
    <row r="16" spans="1:10">
      <c r="A16" s="43" t="s">
        <v>227</v>
      </c>
      <c r="B16" s="45" t="str">
        <f>'[1]Total Cost of Project'!C4</f>
        <v>Machinery and Equipment</v>
      </c>
      <c r="C16" s="44">
        <f>'1.Project Cost and MOF'!D6</f>
        <v>3073040</v>
      </c>
      <c r="D16" s="44"/>
      <c r="E16" s="44"/>
      <c r="F16" s="44"/>
      <c r="G16" s="44"/>
      <c r="H16" s="44"/>
      <c r="I16" s="44"/>
    </row>
    <row r="17" spans="1:9">
      <c r="A17" s="43" t="s">
        <v>264</v>
      </c>
      <c r="B17" s="45" t="s">
        <v>309</v>
      </c>
      <c r="C17" s="44">
        <f>'1.Project Cost and MOF'!D7</f>
        <v>21280</v>
      </c>
      <c r="D17" s="44"/>
      <c r="E17" s="44"/>
      <c r="F17" s="44"/>
      <c r="G17" s="44"/>
      <c r="H17" s="44"/>
      <c r="I17" s="44"/>
    </row>
    <row r="18" spans="1:9">
      <c r="A18" s="43" t="s">
        <v>266</v>
      </c>
      <c r="B18" s="45" t="s">
        <v>311</v>
      </c>
      <c r="C18" s="44">
        <f>'1.Project Cost and MOF'!D8</f>
        <v>70499</v>
      </c>
      <c r="D18" s="44"/>
      <c r="E18" s="44"/>
      <c r="F18" s="44"/>
      <c r="G18" s="44"/>
      <c r="H18" s="44"/>
      <c r="I18" s="44"/>
    </row>
    <row r="19" spans="1:9">
      <c r="A19" s="43" t="s">
        <v>312</v>
      </c>
      <c r="B19" s="45" t="s">
        <v>265</v>
      </c>
      <c r="C19" s="44">
        <f>'1.Project Cost and MOF'!D9</f>
        <v>0</v>
      </c>
      <c r="D19" s="39"/>
      <c r="E19" s="39"/>
      <c r="F19" s="39"/>
      <c r="G19" s="39"/>
      <c r="H19" s="39"/>
      <c r="I19" s="39"/>
    </row>
    <row r="20" spans="1:9">
      <c r="A20" s="43" t="s">
        <v>313</v>
      </c>
      <c r="B20" s="45" t="s">
        <v>267</v>
      </c>
      <c r="C20" s="44">
        <f>'1.Project Cost and MOF'!D10</f>
        <v>107000</v>
      </c>
      <c r="D20" s="39"/>
      <c r="E20" s="39"/>
      <c r="F20" s="39"/>
      <c r="G20" s="39"/>
      <c r="H20" s="39"/>
      <c r="I20" s="39"/>
    </row>
    <row r="21" spans="1:9">
      <c r="A21" s="38">
        <v>2</v>
      </c>
      <c r="B21" s="38" t="s">
        <v>228</v>
      </c>
      <c r="C21" s="42"/>
      <c r="D21" s="42"/>
      <c r="E21" s="42"/>
      <c r="F21" s="42"/>
      <c r="G21" s="42"/>
      <c r="H21" s="42"/>
      <c r="I21" s="42"/>
    </row>
    <row r="22" spans="1:9">
      <c r="A22" s="43" t="s">
        <v>226</v>
      </c>
      <c r="B22" s="42" t="s">
        <v>292</v>
      </c>
      <c r="C22" s="71">
        <f>'6.Cons Profit &amp; Loss'!B19</f>
        <v>45582697.40318726</v>
      </c>
      <c r="D22" s="71">
        <f>'6.Cons Profit &amp; Loss'!C19</f>
        <v>54759905.453569688</v>
      </c>
      <c r="E22" s="71">
        <f>'6.Cons Profit &amp; Loss'!D19</f>
        <v>62470383.430263139</v>
      </c>
      <c r="F22" s="71">
        <f>'6.Cons Profit &amp; Loss'!E19</f>
        <v>70815009.440992042</v>
      </c>
      <c r="G22" s="71">
        <f>'6.Cons Profit &amp; Loss'!F19</f>
        <v>79837922.094218165</v>
      </c>
      <c r="H22" s="71">
        <f>'6.Cons Profit &amp; Loss'!G19</f>
        <v>89586088.489164442</v>
      </c>
      <c r="I22" s="71">
        <f>'6.Cons Profit &amp; Loss'!H19</f>
        <v>100109476.71836981</v>
      </c>
    </row>
    <row r="23" spans="1:9">
      <c r="A23" s="43" t="s">
        <v>227</v>
      </c>
      <c r="B23" s="42" t="s">
        <v>291</v>
      </c>
      <c r="C23" s="39">
        <f>'6.Cons Profit &amp; Loss'!B27</f>
        <v>729835.76785714284</v>
      </c>
      <c r="D23" s="39">
        <f>'6.Cons Profit &amp; Loss'!C27</f>
        <v>772226.43187500001</v>
      </c>
      <c r="E23" s="39">
        <f>'6.Cons Profit &amp; Loss'!D27</f>
        <v>817031.57287500007</v>
      </c>
      <c r="F23" s="39">
        <f>'6.Cons Profit &amp; Loss'!E27</f>
        <v>864386.6618953126</v>
      </c>
      <c r="G23" s="39">
        <f>'6.Cons Profit &amp; Loss'!F27</f>
        <v>914434.68088546884</v>
      </c>
      <c r="H23" s="39">
        <f>'6.Cons Profit &amp; Loss'!G27</f>
        <v>967326.53511990258</v>
      </c>
      <c r="I23" s="39">
        <f>'6.Cons Profit &amp; Loss'!H27</f>
        <v>1023221.488075566</v>
      </c>
    </row>
    <row r="24" spans="1:9">
      <c r="A24" s="46">
        <v>3</v>
      </c>
      <c r="B24" s="38" t="s">
        <v>472</v>
      </c>
      <c r="C24" s="39"/>
      <c r="D24" s="39"/>
      <c r="E24" s="39"/>
      <c r="F24" s="39"/>
      <c r="G24" s="39"/>
      <c r="H24" s="39"/>
      <c r="I24" s="39"/>
    </row>
    <row r="25" spans="1:9">
      <c r="A25" s="43"/>
      <c r="B25" s="42" t="s">
        <v>229</v>
      </c>
      <c r="C25" s="39">
        <f>SUM('4.TL repayment sch'!E10:E21)</f>
        <v>0</v>
      </c>
      <c r="D25" s="39">
        <f>SUM('4.TL repayment sch'!E22:E33)</f>
        <v>0</v>
      </c>
      <c r="E25" s="39">
        <f>SUM('4.TL repayment sch'!E34:E45)</f>
        <v>0</v>
      </c>
      <c r="F25" s="39">
        <f>SUM('4.TL repayment sch'!E46:E57)</f>
        <v>0</v>
      </c>
      <c r="G25" s="39">
        <f>SUM('4.TL repayment sch'!E58:E69)</f>
        <v>0</v>
      </c>
      <c r="H25" s="39">
        <f>SUM('4.TL repayment sch'!E70:E81)</f>
        <v>0</v>
      </c>
      <c r="I25" s="39">
        <f>SUM('4.TL repayment sch'!E82:E93)</f>
        <v>0</v>
      </c>
    </row>
    <row r="26" spans="1:9">
      <c r="A26" s="43"/>
      <c r="B26" s="42" t="s">
        <v>230</v>
      </c>
      <c r="C26" s="39">
        <f>SUM('4.TL repayment sch'!D10:D21)</f>
        <v>0</v>
      </c>
      <c r="D26" s="39">
        <f>SUM('4.TL repayment sch'!D22:D33)</f>
        <v>0</v>
      </c>
      <c r="E26" s="39">
        <f>SUM('4.TL repayment sch'!D34:D45)</f>
        <v>0</v>
      </c>
      <c r="F26" s="39">
        <f>SUM('4.TL repayment sch'!D46:D57)</f>
        <v>0</v>
      </c>
      <c r="G26" s="39">
        <f>SUM('4.TL repayment sch'!D58:D69)</f>
        <v>0</v>
      </c>
      <c r="H26" s="39">
        <f>SUM('4.TL repayment sch'!D70:D81)</f>
        <v>0</v>
      </c>
      <c r="I26" s="39">
        <f>SUM('4.TL repayment sch'!D82:D93)</f>
        <v>0</v>
      </c>
    </row>
    <row r="27" spans="1:9">
      <c r="A27" s="43"/>
      <c r="B27" s="42" t="s">
        <v>231</v>
      </c>
      <c r="C27" s="39">
        <f t="shared" ref="C27:I27" si="1">C11</f>
        <v>0</v>
      </c>
      <c r="D27" s="39">
        <f t="shared" si="1"/>
        <v>0</v>
      </c>
      <c r="E27" s="39">
        <f t="shared" si="1"/>
        <v>0</v>
      </c>
      <c r="F27" s="39">
        <f t="shared" si="1"/>
        <v>0</v>
      </c>
      <c r="G27" s="39">
        <f t="shared" si="1"/>
        <v>0</v>
      </c>
      <c r="H27" s="39">
        <f t="shared" si="1"/>
        <v>0</v>
      </c>
      <c r="I27" s="39">
        <f t="shared" si="1"/>
        <v>0</v>
      </c>
    </row>
    <row r="28" spans="1:9">
      <c r="A28" s="43"/>
      <c r="B28" s="42" t="s">
        <v>232</v>
      </c>
      <c r="C28" s="47">
        <f>C27*12%</f>
        <v>0</v>
      </c>
      <c r="D28" s="47">
        <f t="shared" ref="D28:G28" si="2">D27*12%</f>
        <v>0</v>
      </c>
      <c r="E28" s="47">
        <f t="shared" si="2"/>
        <v>0</v>
      </c>
      <c r="F28" s="47">
        <f t="shared" si="2"/>
        <v>0</v>
      </c>
      <c r="G28" s="47">
        <f t="shared" si="2"/>
        <v>0</v>
      </c>
      <c r="H28" s="47">
        <f t="shared" ref="H28:I28" si="3">H27*12%</f>
        <v>0</v>
      </c>
      <c r="I28" s="47">
        <f t="shared" si="3"/>
        <v>0</v>
      </c>
    </row>
    <row r="29" spans="1:9">
      <c r="A29" s="38">
        <v>4</v>
      </c>
      <c r="B29" s="38" t="s">
        <v>233</v>
      </c>
      <c r="C29" s="39">
        <f>'6.Cons Profit &amp; Loss'!B41</f>
        <v>134813.76981295491</v>
      </c>
      <c r="D29" s="39">
        <f>'6.Cons Profit &amp; Loss'!C41</f>
        <v>147721.8365436286</v>
      </c>
      <c r="E29" s="39">
        <f>'6.Cons Profit &amp; Loss'!D41</f>
        <v>221487.42273774362</v>
      </c>
      <c r="F29" s="39">
        <f>'6.Cons Profit &amp; Loss'!E41</f>
        <v>296712.18554840068</v>
      </c>
      <c r="G29" s="39">
        <f>'6.Cons Profit &amp; Loss'!F41</f>
        <v>374382.03557414224</v>
      </c>
      <c r="H29" s="39">
        <f>'6.Cons Profit &amp; Loss'!G41</f>
        <v>460901.92541505524</v>
      </c>
      <c r="I29" s="39">
        <f>'6.Cons Profit &amp; Loss'!H41</f>
        <v>545894.22303309315</v>
      </c>
    </row>
    <row r="30" spans="1:9">
      <c r="A30" s="38"/>
      <c r="B30" s="38" t="s">
        <v>234</v>
      </c>
      <c r="C30" s="48">
        <f t="shared" ref="C30:I30" si="4">SUM(C15:C29)</f>
        <v>50777640.940857358</v>
      </c>
      <c r="D30" s="48">
        <f t="shared" si="4"/>
        <v>55679853.721988313</v>
      </c>
      <c r="E30" s="48">
        <f t="shared" si="4"/>
        <v>63508902.42587588</v>
      </c>
      <c r="F30" s="48">
        <f t="shared" si="4"/>
        <v>71976108.288435757</v>
      </c>
      <c r="G30" s="48">
        <f t="shared" si="4"/>
        <v>81126738.810677767</v>
      </c>
      <c r="H30" s="48">
        <f t="shared" si="4"/>
        <v>91014316.949699402</v>
      </c>
      <c r="I30" s="48">
        <f t="shared" si="4"/>
        <v>101678592.42947848</v>
      </c>
    </row>
    <row r="31" spans="1:9">
      <c r="A31" s="38"/>
      <c r="B31" s="38" t="s">
        <v>235</v>
      </c>
      <c r="C31" s="48">
        <f t="shared" ref="C31:I31" si="5">C12-C30</f>
        <v>1835530.1768739522</v>
      </c>
      <c r="D31" s="48">
        <f t="shared" si="5"/>
        <v>947749.38323955983</v>
      </c>
      <c r="E31" s="48">
        <f t="shared" si="5"/>
        <v>1082440.0010997355</v>
      </c>
      <c r="F31" s="48">
        <f t="shared" si="5"/>
        <v>1233778.3846992999</v>
      </c>
      <c r="G31" s="48">
        <f t="shared" si="5"/>
        <v>1402068.177165255</v>
      </c>
      <c r="H31" s="48">
        <f t="shared" si="5"/>
        <v>1582277.6676395237</v>
      </c>
      <c r="I31" s="48">
        <f t="shared" si="5"/>
        <v>1786246.5628363341</v>
      </c>
    </row>
    <row r="32" spans="1:9">
      <c r="A32" s="46"/>
      <c r="B32" s="42" t="s">
        <v>236</v>
      </c>
      <c r="C32" s="42"/>
      <c r="D32" s="49">
        <f t="shared" ref="D32:I32" si="6">C33</f>
        <v>1835530.1768739522</v>
      </c>
      <c r="E32" s="49">
        <f t="shared" si="6"/>
        <v>2783279.560113512</v>
      </c>
      <c r="F32" s="49">
        <f t="shared" si="6"/>
        <v>3865719.5612132475</v>
      </c>
      <c r="G32" s="49">
        <f t="shared" si="6"/>
        <v>5099497.9459125474</v>
      </c>
      <c r="H32" s="49">
        <f t="shared" si="6"/>
        <v>6501566.1230778024</v>
      </c>
      <c r="I32" s="49">
        <f t="shared" si="6"/>
        <v>8083843.7907173261</v>
      </c>
    </row>
    <row r="33" spans="1:10">
      <c r="A33" s="38"/>
      <c r="B33" s="50" t="s">
        <v>237</v>
      </c>
      <c r="C33" s="48">
        <f t="shared" ref="C33:I33" si="7">C31+C32</f>
        <v>1835530.1768739522</v>
      </c>
      <c r="D33" s="48">
        <f t="shared" si="7"/>
        <v>2783279.560113512</v>
      </c>
      <c r="E33" s="48">
        <f t="shared" si="7"/>
        <v>3865719.5612132475</v>
      </c>
      <c r="F33" s="48">
        <f t="shared" si="7"/>
        <v>5099497.9459125474</v>
      </c>
      <c r="G33" s="48">
        <f t="shared" si="7"/>
        <v>6501566.1230778024</v>
      </c>
      <c r="H33" s="48">
        <f t="shared" si="7"/>
        <v>8083843.7907173261</v>
      </c>
      <c r="I33" s="48">
        <f t="shared" si="7"/>
        <v>9870090.3535536602</v>
      </c>
    </row>
    <row r="35" spans="1:10" ht="39.950000000000003" customHeight="1">
      <c r="A35" s="452" t="s">
        <v>390</v>
      </c>
      <c r="B35" s="452"/>
      <c r="C35" s="452"/>
      <c r="D35" s="452"/>
      <c r="E35" s="452"/>
      <c r="F35" s="452"/>
      <c r="G35" s="452"/>
      <c r="H35" s="452"/>
      <c r="I35" s="452"/>
      <c r="J35" s="452"/>
    </row>
    <row r="37" spans="1:10">
      <c r="C37" s="65"/>
    </row>
    <row r="38" spans="1:10">
      <c r="C38" s="65"/>
    </row>
    <row r="39" spans="1:10">
      <c r="C39" s="65"/>
    </row>
    <row r="40" spans="1:10">
      <c r="C40" s="65"/>
    </row>
    <row r="41" spans="1:10">
      <c r="C41" s="65"/>
    </row>
  </sheetData>
  <mergeCells count="4">
    <mergeCell ref="A1:G1"/>
    <mergeCell ref="A13:B13"/>
    <mergeCell ref="A2:I2"/>
    <mergeCell ref="A35:J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2022-07-25T11:24:05Z</dcterms:modified>
</cp:coreProperties>
</file>